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66925"/>
  <mc:AlternateContent xmlns:mc="http://schemas.openxmlformats.org/markup-compatibility/2006">
    <mc:Choice Requires="x15">
      <x15ac:absPath xmlns:x15ac="http://schemas.microsoft.com/office/spreadsheetml/2010/11/ac" url="C:\Users\siddh\Desktop\Current Folder\F1\"/>
    </mc:Choice>
  </mc:AlternateContent>
  <xr:revisionPtr revIDLastSave="0" documentId="13_ncr:1_{646901B0-075E-4E02-B00C-F085ED096DFC}" xr6:coauthVersionLast="47" xr6:coauthVersionMax="47" xr10:uidLastSave="{00000000-0000-0000-0000-000000000000}"/>
  <bookViews>
    <workbookView xWindow="-110" yWindow="-110" windowWidth="19420" windowHeight="10300" tabRatio="765"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Progress'!$C$2:$L$3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73"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2" l="1"/>
  <c r="AE65" i="2"/>
  <c r="AF65" i="2" s="1"/>
  <c r="AG65" i="2"/>
  <c r="AH65" i="2"/>
  <c r="AD65" i="2"/>
  <c r="AD35" i="2"/>
  <c r="AD36" i="2"/>
  <c r="AD42" i="2"/>
  <c r="AD37" i="2"/>
  <c r="AD33" i="2"/>
  <c r="AD9" i="2"/>
  <c r="AD46" i="2"/>
  <c r="AD47" i="2"/>
  <c r="AD50" i="2"/>
  <c r="AD52" i="2"/>
  <c r="AD38" i="2"/>
  <c r="AD53" i="2"/>
  <c r="AD58" i="2"/>
  <c r="AD59" i="2"/>
  <c r="AD31" i="2"/>
  <c r="AD23" i="2"/>
  <c r="AD24" i="2"/>
  <c r="AD48" i="2"/>
  <c r="AD49" i="2"/>
  <c r="AD16" i="2"/>
  <c r="AD17" i="2"/>
  <c r="AD44" i="2"/>
  <c r="AD57" i="2"/>
  <c r="AD54" i="2"/>
  <c r="AD55" i="2"/>
  <c r="AD13" i="2"/>
  <c r="AD11" i="2"/>
  <c r="AD39" i="2"/>
  <c r="AD40" i="2"/>
  <c r="AD12" i="2"/>
  <c r="AD56" i="2"/>
  <c r="AD21" i="2"/>
  <c r="AD19" i="2"/>
  <c r="AD14" i="2"/>
  <c r="AD15" i="2"/>
  <c r="AD25" i="2"/>
  <c r="AD22" i="2"/>
  <c r="AD18" i="2"/>
  <c r="AD10" i="2"/>
  <c r="AD26" i="2"/>
  <c r="AD27" i="2"/>
  <c r="AD45" i="2"/>
  <c r="AD41" i="2"/>
  <c r="AD29" i="2"/>
  <c r="AD30" i="2"/>
  <c r="AD63" i="2"/>
  <c r="AD34" i="2"/>
  <c r="AD20" i="2"/>
  <c r="AD64" i="2"/>
  <c r="AD32" i="2"/>
  <c r="AD60" i="2"/>
  <c r="AD61" i="2"/>
  <c r="AD62" i="2"/>
  <c r="AD43" i="2"/>
  <c r="AD51" i="2"/>
  <c r="AD28" i="2"/>
  <c r="D47" i="8" l="1"/>
  <c r="F16" i="8"/>
  <c r="D16" i="8"/>
  <c r="L36" i="5"/>
  <c r="L35" i="5"/>
  <c r="L34" i="5"/>
  <c r="L33" i="5"/>
  <c r="J34" i="5"/>
  <c r="J35" i="5"/>
  <c r="J36" i="5"/>
  <c r="J33" i="5"/>
  <c r="I34" i="5"/>
  <c r="I35" i="5"/>
  <c r="I36" i="5"/>
  <c r="I33" i="5"/>
  <c r="H34" i="5"/>
  <c r="H35" i="5"/>
  <c r="H36" i="5"/>
  <c r="H33" i="5"/>
  <c r="G34" i="5"/>
  <c r="G35" i="5"/>
  <c r="G36" i="5"/>
  <c r="G33" i="5"/>
  <c r="F35" i="5"/>
  <c r="F36" i="5"/>
  <c r="F34" i="5"/>
  <c r="F33" i="5"/>
  <c r="AA5" i="2"/>
  <c r="Z5" i="2"/>
  <c r="Y5" i="2"/>
  <c r="X5" i="2"/>
  <c r="W5" i="2"/>
  <c r="V5" i="2"/>
  <c r="W4" i="2"/>
  <c r="X4" i="2"/>
  <c r="Y4" i="2"/>
  <c r="Z4" i="2"/>
  <c r="AA4" i="2"/>
  <c r="V4" i="2"/>
  <c r="AH10" i="2" l="1"/>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9" i="2"/>
  <c r="G35" i="2" l="1"/>
  <c r="G36" i="2"/>
  <c r="AE35" i="2"/>
  <c r="AF35" i="2" s="1"/>
  <c r="AE36" i="2"/>
  <c r="AF36" i="2" s="1"/>
  <c r="R33" i="5"/>
  <c r="R34" i="5"/>
  <c r="R35" i="5"/>
  <c r="R36" i="5"/>
  <c r="B5" i="5"/>
  <c r="J32" i="5"/>
  <c r="H32" i="5"/>
  <c r="G32" i="5"/>
  <c r="C10" i="8"/>
  <c r="F18" i="8" s="1"/>
  <c r="F21" i="8"/>
  <c r="D22" i="8"/>
  <c r="D21" i="8"/>
  <c r="D18" i="8"/>
  <c r="C16" i="8"/>
  <c r="C18" i="8"/>
  <c r="C17" i="8" s="1"/>
  <c r="C19" i="8" s="1"/>
  <c r="T4" i="2"/>
  <c r="G9" i="2"/>
  <c r="G46" i="2"/>
  <c r="G47" i="2"/>
  <c r="G48" i="2"/>
  <c r="G49" i="2"/>
  <c r="G50" i="2"/>
  <c r="G52" i="2"/>
  <c r="G16" i="2"/>
  <c r="G17" i="2"/>
  <c r="G44" i="2"/>
  <c r="G38" i="2"/>
  <c r="G53" i="2"/>
  <c r="G54" i="2"/>
  <c r="G55" i="2"/>
  <c r="G10" i="2"/>
  <c r="G11" i="2"/>
  <c r="G39" i="2"/>
  <c r="G40" i="2"/>
  <c r="G12" i="2"/>
  <c r="G56" i="2"/>
  <c r="G57" i="2"/>
  <c r="G58" i="2"/>
  <c r="G59" i="2"/>
  <c r="G31" i="2"/>
  <c r="G23" i="2"/>
  <c r="G24" i="2"/>
  <c r="G13" i="2"/>
  <c r="G21" i="2"/>
  <c r="G22" i="2"/>
  <c r="G18" i="2"/>
  <c r="G19" i="2"/>
  <c r="G14" i="2"/>
  <c r="G15" i="2"/>
  <c r="G25" i="2"/>
  <c r="G26" i="2"/>
  <c r="G45" i="2"/>
  <c r="G41" i="2"/>
  <c r="G51" i="2"/>
  <c r="G27" i="2"/>
  <c r="G28" i="2"/>
  <c r="G29" i="2"/>
  <c r="G30" i="2"/>
  <c r="G34" i="2"/>
  <c r="G20" i="2"/>
  <c r="G64" i="2"/>
  <c r="G63" i="2"/>
  <c r="G32" i="2"/>
  <c r="G60" i="2"/>
  <c r="G61" i="2"/>
  <c r="G62" i="2"/>
  <c r="G43" i="2"/>
  <c r="G42" i="2"/>
  <c r="G37" i="2"/>
  <c r="G33" i="2"/>
  <c r="T5" i="2"/>
  <c r="D54" i="8" s="1"/>
  <c r="AE42" i="2"/>
  <c r="AF42" i="2" s="1"/>
  <c r="AE37" i="2"/>
  <c r="AF37" i="2" s="1"/>
  <c r="AE33" i="2"/>
  <c r="AF33" i="2" s="1"/>
  <c r="F13" i="1"/>
  <c r="C21" i="1"/>
  <c r="O36" i="5"/>
  <c r="E36" i="5"/>
  <c r="D36" i="5"/>
  <c r="E35" i="5"/>
  <c r="D35" i="5"/>
  <c r="E34" i="5"/>
  <c r="D34" i="5"/>
  <c r="O33" i="5"/>
  <c r="E33" i="5"/>
  <c r="D33" i="5"/>
  <c r="I32" i="5"/>
  <c r="E7" i="8"/>
  <c r="K7" i="8" s="1"/>
  <c r="E4" i="8"/>
  <c r="G3" i="8"/>
  <c r="E3" i="8"/>
  <c r="AE9" i="2"/>
  <c r="AF9" i="2" s="1"/>
  <c r="AE46" i="2"/>
  <c r="AF46" i="2" s="1"/>
  <c r="AE47" i="2"/>
  <c r="AF47" i="2" s="1"/>
  <c r="AE50" i="2"/>
  <c r="AF50" i="2" s="1"/>
  <c r="AE52" i="2"/>
  <c r="AF52" i="2" s="1"/>
  <c r="AE38" i="2"/>
  <c r="AF38" i="2" s="1"/>
  <c r="AE53" i="2"/>
  <c r="AF53" i="2" s="1"/>
  <c r="AE58" i="2"/>
  <c r="AF58" i="2" s="1"/>
  <c r="AE59" i="2"/>
  <c r="AF59" i="2" s="1"/>
  <c r="AE31" i="2"/>
  <c r="AF31" i="2" s="1"/>
  <c r="AE23" i="2"/>
  <c r="AF23" i="2" s="1"/>
  <c r="AE24" i="2"/>
  <c r="AF24" i="2" s="1"/>
  <c r="AE48" i="2"/>
  <c r="AF48" i="2" s="1"/>
  <c r="AE49" i="2"/>
  <c r="AF49" i="2" s="1"/>
  <c r="AE16" i="2"/>
  <c r="AF16" i="2" s="1"/>
  <c r="AE17" i="2"/>
  <c r="AF17" i="2" s="1"/>
  <c r="AE44" i="2"/>
  <c r="AF44" i="2" s="1"/>
  <c r="AE57" i="2"/>
  <c r="AF57" i="2" s="1"/>
  <c r="AE54" i="2"/>
  <c r="AF54" i="2" s="1"/>
  <c r="AE55" i="2"/>
  <c r="AF55" i="2" s="1"/>
  <c r="AE13" i="2"/>
  <c r="AF13" i="2" s="1"/>
  <c r="AE11" i="2"/>
  <c r="AF11" i="2" s="1"/>
  <c r="AE39" i="2"/>
  <c r="AF39" i="2" s="1"/>
  <c r="AE40" i="2"/>
  <c r="AF40" i="2" s="1"/>
  <c r="AE12" i="2"/>
  <c r="AF12" i="2" s="1"/>
  <c r="AE56" i="2"/>
  <c r="AF56" i="2" s="1"/>
  <c r="AE21" i="2"/>
  <c r="AF21" i="2" s="1"/>
  <c r="AE19" i="2"/>
  <c r="AF19" i="2" s="1"/>
  <c r="AE14" i="2"/>
  <c r="AF14" i="2" s="1"/>
  <c r="AE15" i="2"/>
  <c r="AF15" i="2" s="1"/>
  <c r="AE25" i="2"/>
  <c r="AF25" i="2" s="1"/>
  <c r="AE22" i="2"/>
  <c r="AF22" i="2" s="1"/>
  <c r="AE18" i="2"/>
  <c r="AF18" i="2" s="1"/>
  <c r="AE10" i="2"/>
  <c r="AF10" i="2" s="1"/>
  <c r="AE26" i="2"/>
  <c r="AF26" i="2" s="1"/>
  <c r="AE27" i="2"/>
  <c r="AF27" i="2" s="1"/>
  <c r="AE45" i="2"/>
  <c r="AF45" i="2" s="1"/>
  <c r="AE41" i="2"/>
  <c r="AF41" i="2" s="1"/>
  <c r="AE29" i="2"/>
  <c r="AF29" i="2" s="1"/>
  <c r="AE30" i="2"/>
  <c r="AF30" i="2" s="1"/>
  <c r="AE63" i="2"/>
  <c r="AF63" i="2" s="1"/>
  <c r="AE34" i="2"/>
  <c r="AF34" i="2" s="1"/>
  <c r="AE20" i="2"/>
  <c r="AF20" i="2" s="1"/>
  <c r="AE64" i="2"/>
  <c r="AF64" i="2" s="1"/>
  <c r="AE32" i="2"/>
  <c r="AF32" i="2" s="1"/>
  <c r="AE60" i="2"/>
  <c r="AF60" i="2" s="1"/>
  <c r="AE61" i="2"/>
  <c r="AF61" i="2" s="1"/>
  <c r="AE62" i="2"/>
  <c r="AF62" i="2" s="1"/>
  <c r="AE43" i="2"/>
  <c r="AF43" i="2" s="1"/>
  <c r="AE51" i="2"/>
  <c r="AF51" i="2" s="1"/>
  <c r="AE28" i="2"/>
  <c r="AF28" i="2" s="1"/>
  <c r="K37" i="5"/>
  <c r="AB2" i="2"/>
  <c r="T6" i="2"/>
  <c r="M6" i="2"/>
  <c r="S6" i="2"/>
  <c r="R6" i="2"/>
  <c r="Q6" i="2"/>
  <c r="P6" i="2"/>
  <c r="O6" i="2"/>
  <c r="N6" i="2"/>
  <c r="V36" i="5"/>
  <c r="V35" i="5"/>
  <c r="V34" i="5"/>
  <c r="V33" i="5"/>
  <c r="D61" i="8"/>
  <c r="U64" i="2" l="1"/>
  <c r="U65" i="2"/>
  <c r="F64" i="2"/>
  <c r="F65" i="2"/>
  <c r="C21" i="8"/>
  <c r="D56" i="8" s="1"/>
  <c r="F9" i="2"/>
  <c r="U38" i="2"/>
  <c r="U13" i="2"/>
  <c r="P35" i="5"/>
  <c r="AA35" i="5"/>
  <c r="F7" i="8"/>
  <c r="I3" i="8" s="1"/>
  <c r="E6" i="8"/>
  <c r="E5" i="8" s="1"/>
  <c r="K5" i="8" s="1"/>
  <c r="F30" i="2"/>
  <c r="F29" i="2"/>
  <c r="F28" i="2"/>
  <c r="AA36" i="5"/>
  <c r="U14" i="2"/>
  <c r="U21" i="2"/>
  <c r="U59" i="2"/>
  <c r="U50" i="2"/>
  <c r="U26" i="2"/>
  <c r="U23" i="2"/>
  <c r="C3" i="8"/>
  <c r="U53" i="2"/>
  <c r="U28" i="2"/>
  <c r="U33" i="2"/>
  <c r="U44" i="2"/>
  <c r="U43" i="2"/>
  <c r="U19" i="2"/>
  <c r="U30" i="2"/>
  <c r="U60" i="2"/>
  <c r="U57" i="2"/>
  <c r="U22" i="2"/>
  <c r="U58" i="2"/>
  <c r="U55" i="2"/>
  <c r="J4" i="8"/>
  <c r="U11" i="2"/>
  <c r="U17" i="2"/>
  <c r="U40" i="2"/>
  <c r="U20" i="2"/>
  <c r="U45" i="2"/>
  <c r="F31" i="2"/>
  <c r="U46" i="2"/>
  <c r="U18" i="2"/>
  <c r="U49" i="2"/>
  <c r="U56" i="2"/>
  <c r="U42" i="2"/>
  <c r="U63" i="2"/>
  <c r="K3" i="8"/>
  <c r="O35" i="5"/>
  <c r="U27" i="2"/>
  <c r="U29" i="2"/>
  <c r="U37" i="2"/>
  <c r="U54" i="2"/>
  <c r="U10" i="2"/>
  <c r="U12" i="2"/>
  <c r="U47" i="2"/>
  <c r="U9" i="2"/>
  <c r="U32" i="2"/>
  <c r="U25" i="2"/>
  <c r="C4" i="8"/>
  <c r="U15" i="2"/>
  <c r="U62" i="2"/>
  <c r="U61" i="2"/>
  <c r="D58" i="8"/>
  <c r="C58" i="8" s="1"/>
  <c r="U39" i="2"/>
  <c r="U52" i="2"/>
  <c r="U16" i="2"/>
  <c r="U51" i="2"/>
  <c r="U48" i="2"/>
  <c r="U24" i="2"/>
  <c r="U41" i="2"/>
  <c r="U34" i="2"/>
  <c r="U31" i="2"/>
  <c r="U5" i="2"/>
  <c r="M34" i="5"/>
  <c r="N34" i="5" s="1"/>
  <c r="AA34" i="5"/>
  <c r="P36" i="5"/>
  <c r="D51" i="8"/>
  <c r="C51" i="8" s="1"/>
  <c r="P34" i="5"/>
  <c r="D65" i="8"/>
  <c r="C65" i="8" s="1"/>
  <c r="U36" i="2"/>
  <c r="U35" i="2"/>
  <c r="AC34" i="5"/>
  <c r="S34" i="5"/>
  <c r="Q34" i="5"/>
  <c r="F36" i="2"/>
  <c r="F35" i="2"/>
  <c r="G37" i="5"/>
  <c r="M33" i="5"/>
  <c r="Y33" i="5" s="1"/>
  <c r="O34" i="5"/>
  <c r="S36" i="5"/>
  <c r="M36" i="5"/>
  <c r="Y36" i="5" s="1"/>
  <c r="W34" i="5"/>
  <c r="D37" i="5"/>
  <c r="F22" i="2"/>
  <c r="F53" i="2"/>
  <c r="F13" i="2"/>
  <c r="S35" i="5"/>
  <c r="AC35" i="5"/>
  <c r="F14" i="2"/>
  <c r="F59" i="2"/>
  <c r="Q33" i="5"/>
  <c r="AC36" i="5"/>
  <c r="H37" i="5"/>
  <c r="W35" i="5"/>
  <c r="F49" i="2"/>
  <c r="F45" i="2"/>
  <c r="J37" i="5"/>
  <c r="Q35" i="5"/>
  <c r="F56" i="2"/>
  <c r="AC33" i="5"/>
  <c r="L37" i="5"/>
  <c r="F41" i="2"/>
  <c r="F58" i="2"/>
  <c r="F24" i="2"/>
  <c r="G21" i="8"/>
  <c r="F48" i="2"/>
  <c r="W33" i="5"/>
  <c r="G16" i="8"/>
  <c r="K36" i="5"/>
  <c r="AE36" i="5" s="1"/>
  <c r="W36" i="5"/>
  <c r="F39" i="2"/>
  <c r="I37" i="5"/>
  <c r="F42" i="2"/>
  <c r="AB5" i="2"/>
  <c r="F15" i="2"/>
  <c r="F40" i="2"/>
  <c r="F33" i="2"/>
  <c r="E37" i="5"/>
  <c r="P33" i="5"/>
  <c r="AA33" i="5"/>
  <c r="F10" i="2"/>
  <c r="F47" i="2"/>
  <c r="F60" i="2"/>
  <c r="F19" i="2"/>
  <c r="F46" i="2"/>
  <c r="F37" i="2"/>
  <c r="F37" i="5"/>
  <c r="C12" i="8"/>
  <c r="M35" i="5"/>
  <c r="Y35" i="5" s="1"/>
  <c r="K34" i="5"/>
  <c r="AE34" i="5" s="1"/>
  <c r="F63" i="2"/>
  <c r="F23" i="2"/>
  <c r="F44" i="2"/>
  <c r="F22" i="8"/>
  <c r="F54" i="2"/>
  <c r="F18" i="2"/>
  <c r="D20" i="8"/>
  <c r="K33" i="5"/>
  <c r="AE33" i="5" s="1"/>
  <c r="K35" i="5"/>
  <c r="AE35" i="5" s="1"/>
  <c r="F57" i="2"/>
  <c r="F32" i="2"/>
  <c r="F62" i="2"/>
  <c r="F21" i="2"/>
  <c r="F51" i="2"/>
  <c r="F17" i="2"/>
  <c r="F20" i="2"/>
  <c r="C39" i="8"/>
  <c r="Q36" i="5"/>
  <c r="S33" i="5"/>
  <c r="F11" i="2"/>
  <c r="F43" i="2"/>
  <c r="F25" i="2"/>
  <c r="F52" i="2"/>
  <c r="F55" i="2"/>
  <c r="F61" i="2"/>
  <c r="D29" i="8"/>
  <c r="I29" i="10" s="1"/>
  <c r="F38" i="2"/>
  <c r="F27" i="2"/>
  <c r="F12" i="2"/>
  <c r="F16" i="2"/>
  <c r="F34" i="2"/>
  <c r="F50" i="2"/>
  <c r="F26" i="2"/>
  <c r="D48" i="8"/>
  <c r="C31" i="8"/>
  <c r="M30" i="10" s="1"/>
  <c r="C29" i="8"/>
  <c r="I30" i="10" s="1"/>
  <c r="D17" i="8"/>
  <c r="D19" i="8" s="1"/>
  <c r="F4" i="8"/>
  <c r="I4" i="8" s="1"/>
  <c r="D49" i="8"/>
  <c r="K4" i="8"/>
  <c r="D32" i="8"/>
  <c r="Q29" i="10" s="1"/>
  <c r="E16" i="8"/>
  <c r="F31" i="8"/>
  <c r="F29" i="8"/>
  <c r="F17" i="8"/>
  <c r="C22" i="8"/>
  <c r="C26" i="8"/>
  <c r="D31" i="8"/>
  <c r="C11" i="8"/>
  <c r="C24" i="8"/>
  <c r="G30" i="10" s="1"/>
  <c r="E21" i="8" l="1"/>
  <c r="C20" i="8"/>
  <c r="D55" i="8"/>
  <c r="J5" i="8"/>
  <c r="H4" i="8"/>
  <c r="G4" i="8" s="1"/>
  <c r="I7" i="8"/>
  <c r="J7" i="8"/>
  <c r="J6" i="8"/>
  <c r="K6" i="8"/>
  <c r="F6" i="8"/>
  <c r="I6" i="8" s="1"/>
  <c r="H7" i="8" s="1"/>
  <c r="G7" i="8" s="1"/>
  <c r="F5" i="8"/>
  <c r="I5" i="8" s="1"/>
  <c r="H5" i="8" s="1"/>
  <c r="G5" i="8" s="1"/>
  <c r="C5" i="8"/>
  <c r="C6" i="8" s="1"/>
  <c r="C47" i="8"/>
  <c r="E47" i="8" s="1"/>
  <c r="C54" i="8"/>
  <c r="E54" i="8" s="1"/>
  <c r="C55" i="8"/>
  <c r="E55" i="8" s="1"/>
  <c r="Y34" i="5"/>
  <c r="C61" i="8"/>
  <c r="E61" i="8" s="1"/>
  <c r="C48" i="8"/>
  <c r="E48" i="8" s="1"/>
  <c r="C49" i="8"/>
  <c r="E49" i="8" s="1"/>
  <c r="D72" i="8"/>
  <c r="C72" i="8" s="1"/>
  <c r="P37" i="5"/>
  <c r="N36" i="5"/>
  <c r="N33" i="5"/>
  <c r="C40" i="8"/>
  <c r="C41" i="8" s="1"/>
  <c r="C42" i="8" s="1"/>
  <c r="F20" i="8"/>
  <c r="G20" i="8" s="1"/>
  <c r="G22" i="8"/>
  <c r="F32" i="8"/>
  <c r="F30" i="8" s="1"/>
  <c r="N35" i="5"/>
  <c r="D68" i="8"/>
  <c r="E29" i="8"/>
  <c r="D24" i="8"/>
  <c r="G29" i="10" s="1"/>
  <c r="D26" i="8"/>
  <c r="C56" i="8"/>
  <c r="E56" i="8" s="1"/>
  <c r="D57" i="8"/>
  <c r="C57" i="8" s="1"/>
  <c r="E57" i="8" s="1"/>
  <c r="D27" i="8"/>
  <c r="O29" i="10" s="1"/>
  <c r="D50" i="8"/>
  <c r="C50" i="8" s="1"/>
  <c r="E50" i="8" s="1"/>
  <c r="K30" i="10"/>
  <c r="D69" i="8"/>
  <c r="E20" i="8"/>
  <c r="D70" i="8"/>
  <c r="F24" i="8"/>
  <c r="F19" i="8"/>
  <c r="C8" i="8"/>
  <c r="D65" i="2" s="1"/>
  <c r="F26" i="8"/>
  <c r="F27" i="8"/>
  <c r="C32" i="8"/>
  <c r="D62" i="8"/>
  <c r="C62" i="8" s="1"/>
  <c r="E62" i="8" s="1"/>
  <c r="C27" i="8"/>
  <c r="O30" i="10" s="1"/>
  <c r="E22" i="8"/>
  <c r="D63" i="8"/>
  <c r="G29" i="8"/>
  <c r="I32" i="10"/>
  <c r="M32" i="10"/>
  <c r="G31" i="8"/>
  <c r="M29" i="10"/>
  <c r="U29" i="10" s="1"/>
  <c r="E31" i="8"/>
  <c r="D30" i="8"/>
  <c r="H6" i="8" l="1"/>
  <c r="G6" i="8" s="1"/>
  <c r="D9" i="2"/>
  <c r="E9" i="2" s="1"/>
  <c r="D17" i="2"/>
  <c r="D25" i="2"/>
  <c r="D33" i="2"/>
  <c r="D41" i="2"/>
  <c r="D49" i="2"/>
  <c r="D57" i="2"/>
  <c r="D10" i="2"/>
  <c r="D18" i="2"/>
  <c r="D26" i="2"/>
  <c r="D34" i="2"/>
  <c r="D42" i="2"/>
  <c r="D50" i="2"/>
  <c r="D58" i="2"/>
  <c r="D11" i="2"/>
  <c r="D19" i="2"/>
  <c r="D27" i="2"/>
  <c r="D35" i="2"/>
  <c r="D43" i="2"/>
  <c r="D51" i="2"/>
  <c r="D59" i="2"/>
  <c r="D12" i="2"/>
  <c r="D20" i="2"/>
  <c r="D28" i="2"/>
  <c r="D36" i="2"/>
  <c r="D44" i="2"/>
  <c r="D52" i="2"/>
  <c r="D60" i="2"/>
  <c r="D13" i="2"/>
  <c r="D21" i="2"/>
  <c r="D29" i="2"/>
  <c r="D37" i="2"/>
  <c r="D45" i="2"/>
  <c r="D53" i="2"/>
  <c r="D61" i="2"/>
  <c r="D14" i="2"/>
  <c r="D22" i="2"/>
  <c r="D30" i="2"/>
  <c r="D38" i="2"/>
  <c r="D46" i="2"/>
  <c r="D54" i="2"/>
  <c r="D62" i="2"/>
  <c r="D15" i="2"/>
  <c r="D23" i="2"/>
  <c r="D31" i="2"/>
  <c r="D39" i="2"/>
  <c r="D47" i="2"/>
  <c r="D55" i="2"/>
  <c r="D63" i="2"/>
  <c r="D16" i="2"/>
  <c r="D24" i="2"/>
  <c r="D32" i="2"/>
  <c r="D40" i="2"/>
  <c r="D48" i="2"/>
  <c r="D56" i="2"/>
  <c r="D64" i="2"/>
  <c r="E65" i="2" s="1"/>
  <c r="C69" i="8"/>
  <c r="E69" i="8" s="1"/>
  <c r="C68" i="8"/>
  <c r="E68" i="8" s="1"/>
  <c r="Q32" i="10"/>
  <c r="U32" i="10" s="1"/>
  <c r="G32" i="8"/>
  <c r="D25" i="8"/>
  <c r="S30" i="10"/>
  <c r="E24" i="8"/>
  <c r="G31" i="10" s="1"/>
  <c r="H8" i="8"/>
  <c r="E26" i="8"/>
  <c r="K31" i="10" s="1"/>
  <c r="K29" i="10"/>
  <c r="S29" i="10" s="1"/>
  <c r="G30" i="8"/>
  <c r="G27" i="8"/>
  <c r="O33" i="10" s="1"/>
  <c r="O32" i="10"/>
  <c r="D64" i="8"/>
  <c r="C64" i="8" s="1"/>
  <c r="E64" i="8" s="1"/>
  <c r="C63" i="8"/>
  <c r="E63" i="8" s="1"/>
  <c r="K32" i="10"/>
  <c r="F25" i="8"/>
  <c r="G26" i="8"/>
  <c r="K33" i="10" s="1"/>
  <c r="C36" i="8"/>
  <c r="C35" i="8"/>
  <c r="D71" i="8"/>
  <c r="C71" i="8" s="1"/>
  <c r="E71" i="8" s="1"/>
  <c r="C70" i="8"/>
  <c r="E70" i="8" s="1"/>
  <c r="Q30" i="10"/>
  <c r="U30" i="10" s="1"/>
  <c r="C30" i="8"/>
  <c r="E30" i="8" s="1"/>
  <c r="E32" i="8"/>
  <c r="G32" i="10"/>
  <c r="G24" i="8"/>
  <c r="G33" i="10" s="1"/>
  <c r="E27" i="8"/>
  <c r="O31" i="10" s="1"/>
  <c r="C25" i="8"/>
  <c r="C65" i="2" l="1"/>
  <c r="E56" i="2"/>
  <c r="E15" i="2"/>
  <c r="E46" i="2"/>
  <c r="E21" i="2"/>
  <c r="E62" i="2"/>
  <c r="E45" i="2"/>
  <c r="E63" i="2"/>
  <c r="E13" i="2"/>
  <c r="E40" i="2"/>
  <c r="E37" i="2"/>
  <c r="E61" i="2"/>
  <c r="E54" i="2"/>
  <c r="E64" i="2"/>
  <c r="E14" i="2"/>
  <c r="E55" i="2"/>
  <c r="E22" i="2"/>
  <c r="E23" i="2"/>
  <c r="E48" i="2"/>
  <c r="E47" i="2"/>
  <c r="E30" i="2"/>
  <c r="E24" i="2"/>
  <c r="E39" i="2"/>
  <c r="E31" i="2"/>
  <c r="E29" i="2"/>
  <c r="E53" i="2"/>
  <c r="E28" i="2"/>
  <c r="E16" i="2"/>
  <c r="E35" i="2"/>
  <c r="E44" i="2"/>
  <c r="E51" i="2"/>
  <c r="E58" i="2"/>
  <c r="E42" i="2"/>
  <c r="E38" i="2"/>
  <c r="E32" i="2"/>
  <c r="E12" i="2"/>
  <c r="E19" i="2"/>
  <c r="E26" i="2"/>
  <c r="E36" i="2"/>
  <c r="E43" i="2"/>
  <c r="E50" i="2"/>
  <c r="E11" i="2"/>
  <c r="E18" i="2"/>
  <c r="E10" i="2"/>
  <c r="E57" i="2"/>
  <c r="E49" i="2"/>
  <c r="E20" i="2"/>
  <c r="E27" i="2"/>
  <c r="E34" i="2"/>
  <c r="E41" i="2"/>
  <c r="E33" i="2"/>
  <c r="E25" i="2"/>
  <c r="E60" i="2"/>
  <c r="E17" i="2"/>
  <c r="E52" i="2"/>
  <c r="E59" i="2"/>
  <c r="C40" i="2"/>
  <c r="C39" i="2"/>
  <c r="C48" i="2"/>
  <c r="C47" i="2"/>
  <c r="C46" i="2"/>
  <c r="C45" i="2"/>
  <c r="C44" i="2"/>
  <c r="C51" i="2"/>
  <c r="C58" i="2"/>
  <c r="C36" i="2"/>
  <c r="C30" i="2"/>
  <c r="C29" i="2"/>
  <c r="C28" i="2"/>
  <c r="C35" i="2"/>
  <c r="C42" i="2"/>
  <c r="C49" i="2"/>
  <c r="C43" i="2"/>
  <c r="C32" i="2"/>
  <c r="C24" i="2"/>
  <c r="C23" i="2"/>
  <c r="C22" i="2"/>
  <c r="C21" i="2"/>
  <c r="C20" i="2"/>
  <c r="C27" i="2"/>
  <c r="C34" i="2"/>
  <c r="C41" i="2"/>
  <c r="C37" i="2"/>
  <c r="C57" i="2"/>
  <c r="C31" i="2"/>
  <c r="C16" i="2"/>
  <c r="C15" i="2"/>
  <c r="C14" i="2"/>
  <c r="C13" i="2"/>
  <c r="C12" i="2"/>
  <c r="C19" i="2"/>
  <c r="C26" i="2"/>
  <c r="C33" i="2"/>
  <c r="C38" i="2"/>
  <c r="C50" i="2"/>
  <c r="C11" i="2"/>
  <c r="C18" i="2"/>
  <c r="C25" i="2"/>
  <c r="C64" i="2"/>
  <c r="C63" i="2"/>
  <c r="C62" i="2"/>
  <c r="C61" i="2"/>
  <c r="C60" i="2"/>
  <c r="C10" i="2"/>
  <c r="C17" i="2"/>
  <c r="C56" i="2"/>
  <c r="C55" i="2"/>
  <c r="C54" i="2"/>
  <c r="C53" i="2"/>
  <c r="C52" i="2"/>
  <c r="C59" i="2"/>
  <c r="C9" i="2"/>
  <c r="E25" i="8"/>
  <c r="S31" i="10" s="1"/>
  <c r="G25" i="8"/>
  <c r="S33" i="10" s="1"/>
  <c r="S7" i="10"/>
  <c r="S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<sst xmlns="http://schemas.openxmlformats.org/spreadsheetml/2006/main" count="778" uniqueCount="233">
  <si>
    <t>Candidate Name:</t>
  </si>
  <si>
    <t>Date of Exam:</t>
  </si>
  <si>
    <t>Date of Beginning Preparation:</t>
  </si>
  <si>
    <t>Subject</t>
  </si>
  <si>
    <t>Reading</t>
  </si>
  <si>
    <t>Topic</t>
  </si>
  <si>
    <t>U</t>
  </si>
  <si>
    <t>Total</t>
  </si>
  <si>
    <t>Performance Review</t>
  </si>
  <si>
    <t>Hypothesis Testing</t>
  </si>
  <si>
    <t>Total Chapters</t>
  </si>
  <si>
    <t>Order of Study</t>
  </si>
  <si>
    <t>Done</t>
  </si>
  <si>
    <t>Undone</t>
  </si>
  <si>
    <t>Syllubus(D)</t>
  </si>
  <si>
    <t>Syllubus(T)</t>
  </si>
  <si>
    <t>Practice(D)</t>
  </si>
  <si>
    <t>Practice(T)</t>
  </si>
  <si>
    <t>Practice</t>
  </si>
  <si>
    <t>Done (P)</t>
  </si>
  <si>
    <t>Undone(P)</t>
  </si>
  <si>
    <t>Undone(S)</t>
  </si>
  <si>
    <t>Lectures</t>
  </si>
  <si>
    <t>Self Study</t>
  </si>
  <si>
    <t>Revision</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</si>
  <si>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</si>
  <si>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</si>
  <si>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</si>
  <si>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</si>
  <si>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</si>
  <si>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</si>
  <si>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</si>
  <si>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</si>
  <si>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</si>
  <si>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</si>
  <si>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</si>
  <si>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</si>
  <si>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</si>
  <si>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</si>
  <si>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</si>
  <si>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</si>
  <si>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</si>
  <si>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</si>
  <si>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</si>
  <si>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</si>
  <si>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</si>
  <si>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</si>
  <si>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</si>
  <si>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</si>
  <si>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</si>
  <si>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</si>
  <si>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</si>
  <si>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</si>
  <si>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</si>
  <si>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</si>
  <si>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</si>
  <si>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</si>
  <si>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</si>
  <si>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</si>
  <si>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</si>
  <si>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</si>
  <si>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</si>
  <si>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</si>
  <si>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</si>
  <si>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</si>
  <si>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</si>
  <si>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</si>
  <si>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</si>
  <si>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</si>
  <si>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</si>
  <si>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</si>
  <si>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</si>
  <si>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</si>
  <si>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</si>
  <si>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</si>
  <si>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</si>
  <si>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</si>
  <si>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</si>
  <si>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</si>
  <si>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</si>
  <si>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</si>
  <si>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t>Syllabus</t>
  </si>
  <si>
    <r>
      <t>It just gives an indication of whether the chapter is lengthy on a scale of '1' to '5', '</t>
    </r>
    <r>
      <rPr>
        <b/>
        <sz val="11"/>
        <color theme="1"/>
        <rFont val="Tw Cen MT"/>
        <family val="2"/>
      </rPr>
      <t>3' being an average chapter length.</t>
    </r>
  </si>
  <si>
    <t>Notes to Yourself</t>
  </si>
  <si>
    <t>Average</t>
  </si>
  <si>
    <t>Lengthy</t>
  </si>
  <si>
    <t>Numerical or Not</t>
  </si>
  <si>
    <t>Diff. Level</t>
  </si>
  <si>
    <t>Imp. Level</t>
  </si>
  <si>
    <t>Reqd. Prac.</t>
  </si>
  <si>
    <t>Cum. (%)</t>
  </si>
  <si>
    <t>Prac. Book</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</si>
  <si>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</si>
  <si>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</si>
  <si>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</si>
  <si>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</si>
  <si>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</si>
  <si>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</si>
  <si>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</si>
  <si>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</si>
  <si>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</si>
  <si>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</si>
  <si>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</si>
  <si>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</si>
  <si>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</si>
  <si>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</si>
  <si>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</si>
  <si>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</si>
  <si>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</si>
  <si>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</si>
  <si>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</si>
  <si>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</si>
  <si>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</si>
  <si>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</si>
  <si>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</si>
  <si>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</si>
  <si>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</si>
  <si>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</si>
  <si>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</si>
  <si>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</si>
  <si>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</si>
  <si>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</si>
  <si>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</si>
  <si>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</si>
  <si>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</si>
  <si>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</si>
  <si>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</si>
  <si>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</si>
  <si>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</si>
  <si>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</si>
  <si>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</si>
  <si>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</si>
  <si>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</si>
  <si>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</si>
  <si>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</si>
  <si>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</si>
  <si>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</si>
  <si>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</si>
  <si>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</si>
  <si>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</si>
  <si>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</si>
  <si>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</si>
  <si>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</si>
  <si>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</si>
  <si>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</si>
  <si>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</si>
  <si>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</si>
  <si>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</si>
  <si>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t>
  </si>
  <si>
    <t>Your Name</t>
  </si>
  <si>
    <t>FRM P-1</t>
  </si>
  <si>
    <t>The schedule is automatically update with every passing day, telling you what you need to complete in the current week and the following weeks until your revision day starts based on you study hours.</t>
  </si>
  <si>
    <r>
      <t xml:space="preserve">On a scale of </t>
    </r>
    <r>
      <rPr>
        <b/>
        <sz val="11"/>
        <color theme="1"/>
        <rFont val="Tw Cen MT"/>
        <family val="2"/>
      </rPr>
      <t>1(None) to 5(completely)</t>
    </r>
    <r>
      <rPr>
        <sz val="11"/>
        <color theme="1"/>
        <rFont val="Tw Cen MT"/>
        <family val="2"/>
      </rPr>
      <t xml:space="preserve"> have highlighted if the reading has a lot of numerical, formulas, ratios, calculations, etc. This is just to give you an idea to have the right expectations before you begin the chapter.</t>
    </r>
  </si>
  <si>
    <t>Details on 'what' and 'how much' to practice has been provided in details already. This is just to give an indication on a chapter-wise basis, concerning the required practice, given how much the student is prone to error, or if there are a lot of confusing or difficult questions being tested from that chapter.
1 - Only If you have a shortage of time, you may skip the practice altogether. Do the Schweser EOC. 
2 - Do the Schweser EOC, and do the Practice Questions provided through Practice Lectures at least to understand how to attempt them.
3 -Do the Schweser EOC, try the practice questions yourself first, and then go through the practice lectures; If Lecture not given for any lecture, solve them yourself.
4 - Do the Schweser EOC, try the practice questions yourself first, and then go through the practice lectures, then  complete the Institute Material EOC
5. Do the Schweser EOC, try the practice questions yourself and then go through the practice lectures, then complete the Institute Material EOC. Try to solve questions from Schweser Online Questions as well.
Some chapters may not have all practice resources, especially current issues. Please ignore the same</t>
  </si>
  <si>
    <t xml:space="preserve">This gives you a rough approximation of the ‘%’ of lectures completed, and hence an idea of the proportion of syllabus completed. </t>
  </si>
  <si>
    <t xml:space="preserve">The Most important part of your preparation. You must watch every single lecture very attentively. You are strictly advised against using your phone while attending the lectures. Sit for a minimum 2.5-3 hours at a stretch. Do not leave a topic or a concept in between while studying, by taking too many breaks. </t>
  </si>
  <si>
    <t xml:space="preserve">You have to do these, as the exam level of difficulty is quite good and practice is important. The level of difficulty is higher. Practice lectures for almost all chapters is also provided. Make sure you solve these on a chapter wise basis. Further details provided in ‘How to study and practice’ lecture. </t>
  </si>
  <si>
    <t>The questions are a little difficult and quite a few of them Non-MCQ. Still solve all the sums. Also, there are quite a few printing errors in the solutions in the institute material. Do not get irritated over it.</t>
  </si>
  <si>
    <t>The syllabus of FRM has changed significantly over the years and all past year questions are not valid. Most have been filtered. In case any question is out of syllabus, please ignore the same and move forward. Also, do these along with revision.</t>
  </si>
  <si>
    <t>Practice Books</t>
  </si>
  <si>
    <t>GARP EOC Questions</t>
  </si>
  <si>
    <t>GARP 10 Year Papers</t>
  </si>
  <si>
    <t>Quantitative Analysis</t>
  </si>
  <si>
    <t>Foundation of Risk Mgmt</t>
  </si>
  <si>
    <t>Anatomy of the Great Financial Crisis of 2007-2009</t>
  </si>
  <si>
    <t>Credit Risk Transfer Mechanisms</t>
  </si>
  <si>
    <t>Linear Regression</t>
  </si>
  <si>
    <t>Regression with Multiple Explanatory Variables</t>
  </si>
  <si>
    <t>Regression Diagnostics</t>
  </si>
  <si>
    <t>Financial Mkts &amp; Products</t>
  </si>
  <si>
    <t>Banks</t>
  </si>
  <si>
    <t>Insurance Companies and Pension Plans</t>
  </si>
  <si>
    <t>Fund Management</t>
  </si>
  <si>
    <t>Stationary Time Series</t>
  </si>
  <si>
    <t>Non-Stationary Time Series</t>
  </si>
  <si>
    <t>Options Markets</t>
  </si>
  <si>
    <t>Properties of Options</t>
  </si>
  <si>
    <t>Introduction to Derivatives</t>
  </si>
  <si>
    <t>Pricing Financial Forwards and Futures</t>
  </si>
  <si>
    <t>Commodity Forwards and Futures</t>
  </si>
  <si>
    <t>Futures Markets</t>
  </si>
  <si>
    <t>Using Futures for Hedging</t>
  </si>
  <si>
    <t>Exchanges and OTC Markets</t>
  </si>
  <si>
    <t>Central Clearing</t>
  </si>
  <si>
    <t>Trading Strategies</t>
  </si>
  <si>
    <t>Valuation &amp; Risk Models</t>
  </si>
  <si>
    <t>Binomial Trees</t>
  </si>
  <si>
    <t>Exotic Options</t>
  </si>
  <si>
    <t>GARP Code of Conduct</t>
  </si>
  <si>
    <t>Principles for Effective Data Aggregation and Risk Reporting</t>
  </si>
  <si>
    <t>Properties of Interest Rates</t>
  </si>
  <si>
    <t>Corporate Bonds</t>
  </si>
  <si>
    <t>Interest Rate Futures</t>
  </si>
  <si>
    <t>Swaps</t>
  </si>
  <si>
    <t>Foreign Exchange Markets</t>
  </si>
  <si>
    <t>External and Internal Credit Ratings</t>
  </si>
  <si>
    <t>The Building Blocks of Risk Management</t>
  </si>
  <si>
    <t>Measures of Financial Risk</t>
  </si>
  <si>
    <t>Calculating and Applying VaR</t>
  </si>
  <si>
    <t>Measuring and Monitoring Volatility</t>
  </si>
  <si>
    <t>Stress Testing</t>
  </si>
  <si>
    <t>Measuring Credit Risk</t>
  </si>
  <si>
    <t>Operational Risk</t>
  </si>
  <si>
    <t>Learning from Financial Disasters</t>
  </si>
  <si>
    <t>Enterprise Risk Management and Future Trends</t>
  </si>
  <si>
    <t>The Governance of Risk Management</t>
  </si>
  <si>
    <t>GARP 10 Yr Papers</t>
  </si>
  <si>
    <t>GARP EOC Ques.</t>
  </si>
  <si>
    <t>Modern Portfolio Theory and the Capital Asset Pricing Model</t>
  </si>
  <si>
    <t>The Arbitrage Pricing Theory and Multifactor Models of Risk and Return</t>
  </si>
  <si>
    <t>Measuring Returns, Volatility, and Correlation</t>
  </si>
  <si>
    <t>Simulation and Bootstrapping</t>
  </si>
  <si>
    <t>Machine Learning and Prediction</t>
  </si>
  <si>
    <t>Mortgages and Mortgage-Backed Securities</t>
  </si>
  <si>
    <t>Applying Duration, Convexity, and DV01</t>
  </si>
  <si>
    <t>Undone hrs</t>
  </si>
  <si>
    <t>Cum. Undone hrs</t>
  </si>
  <si>
    <t>Column2</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</si>
  <si>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</si>
  <si>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</si>
  <si>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12 to 16</t>
  </si>
  <si>
    <t>55 to 57</t>
  </si>
  <si>
    <t>Probability and Statistics</t>
  </si>
  <si>
    <t>Machine Learning Methods</t>
  </si>
  <si>
    <t>The Black Scholes Merton Model</t>
  </si>
  <si>
    <t>Option Sensitivity Measures-The Greeks</t>
  </si>
  <si>
    <t>Fixed Income</t>
  </si>
  <si>
    <t>Country Risk-Determinants, Measures, and Implications</t>
  </si>
  <si>
    <t>How Do Firms Manage Financial Risk</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</si>
  <si>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 Chapters that have been taught together shows the sum of all learning outcomes in the combined chapters.</t>
    </r>
  </si>
  <si>
    <t>Sum of No. of Chapters</t>
  </si>
  <si>
    <t>Interest Rates</t>
  </si>
  <si>
    <t>Modeling Non Parallel Term Structure Shifts and Hedging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</si>
</sst>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7" x14ac:knownFonts="1">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6">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39" fillId="0" borderId="0" applyNumberFormat="0" applyFill="0" applyBorder="0" applyAlignment="0" applyProtection="0"/>
    <xf numFmtId="0" fontId="76" fillId="0" borderId="0"/>
  </cellStyleXfs>
  <cellXfs count="307">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7" fillId="0" borderId="2" xfId="0" applyNumberFormat="1" applyFont="1" applyBorder="1" applyAlignment="1">
      <alignment horizontal="center" vertical="center" wrapText="1"/>
    </xf>
    <xf numFmtId="0" fontId="29" fillId="4" borderId="2" xfId="0" applyFont="1" applyFill="1" applyBorder="1" applyAlignment="1">
      <alignment horizontal="center" vertical="center" wrapText="1"/>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1"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17" fontId="42"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0" fillId="16" borderId="0" xfId="0" applyFont="1" applyFill="1"/>
    <xf numFmtId="0" fontId="22" fillId="16" borderId="0" xfId="0" applyFont="1" applyFill="1"/>
    <xf numFmtId="0" fontId="41" fillId="16" borderId="0" xfId="0" applyFont="1" applyFill="1"/>
    <xf numFmtId="0" fontId="44" fillId="16" borderId="0" xfId="0" applyFont="1" applyFill="1"/>
    <xf numFmtId="164" fontId="44" fillId="16" borderId="0" xfId="0" applyNumberFormat="1" applyFont="1" applyFill="1"/>
    <xf numFmtId="0" fontId="45" fillId="16" borderId="0" xfId="0" applyFont="1" applyFill="1"/>
    <xf numFmtId="0" fontId="46"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7"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8" fillId="3" borderId="0" xfId="0" applyNumberFormat="1" applyFont="1" applyFill="1" applyAlignment="1" applyProtection="1">
      <alignment horizontal="center" vertical="center" wrapText="1"/>
      <protection locked="0"/>
    </xf>
    <xf numFmtId="166" fontId="48"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3" fillId="16" borderId="0" xfId="0" applyFont="1" applyFill="1" applyAlignment="1">
      <alignment horizontal="center" vertical="center"/>
    </xf>
    <xf numFmtId="0" fontId="41" fillId="16" borderId="0" xfId="0" applyFont="1" applyFill="1" applyAlignment="1">
      <alignment vertical="center" wrapText="1"/>
    </xf>
    <xf numFmtId="0" fontId="24" fillId="16" borderId="0" xfId="0" applyFont="1" applyFill="1" applyAlignment="1">
      <alignment vertical="center" wrapText="1"/>
    </xf>
    <xf numFmtId="0" fontId="28"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6" fillId="16" borderId="0" xfId="0" applyFont="1" applyFill="1" applyAlignment="1">
      <alignment vertical="center"/>
    </xf>
    <xf numFmtId="0" fontId="6" fillId="16" borderId="0" xfId="0" applyFont="1" applyFill="1" applyAlignment="1">
      <alignment vertical="center"/>
    </xf>
    <xf numFmtId="0" fontId="26" fillId="16" borderId="4" xfId="0" applyFont="1" applyFill="1" applyBorder="1" applyAlignment="1">
      <alignment vertical="center"/>
    </xf>
    <xf numFmtId="0" fontId="37" fillId="16" borderId="0" xfId="0" applyFont="1" applyFill="1" applyAlignment="1">
      <alignment horizontal="right" wrapText="1"/>
    </xf>
    <xf numFmtId="172" fontId="37" fillId="16" borderId="0" xfId="0" applyNumberFormat="1" applyFont="1" applyFill="1" applyAlignment="1">
      <alignment horizontal="center" wrapText="1"/>
    </xf>
    <xf numFmtId="169" fontId="37" fillId="16" borderId="0" xfId="0" applyNumberFormat="1" applyFont="1" applyFill="1" applyAlignment="1">
      <alignment horizontal="center" wrapText="1"/>
    </xf>
    <xf numFmtId="4" fontId="3" fillId="16" borderId="0" xfId="0" applyNumberFormat="1" applyFont="1" applyFill="1"/>
    <xf numFmtId="0" fontId="59" fillId="10" borderId="8" xfId="0" applyFont="1" applyFill="1" applyBorder="1" applyAlignment="1">
      <alignment vertical="center"/>
    </xf>
    <xf numFmtId="0" fontId="60" fillId="3" borderId="8"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4"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3"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2" xfId="0" applyFont="1" applyBorder="1"/>
    <xf numFmtId="4" fontId="3" fillId="0" borderId="2" xfId="0" applyNumberFormat="1" applyFont="1" applyBorder="1" applyAlignment="1">
      <alignment horizontal="center"/>
    </xf>
    <xf numFmtId="3" fontId="27"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7" fillId="22" borderId="2" xfId="0" applyFont="1" applyFill="1" applyBorder="1" applyAlignment="1">
      <alignment horizontal="left" vertical="center" indent="1"/>
    </xf>
    <xf numFmtId="0" fontId="27"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7" fillId="0" borderId="2" xfId="0" applyNumberFormat="1" applyFont="1" applyBorder="1" applyAlignment="1">
      <alignment horizontal="center" vertical="center" wrapText="1"/>
    </xf>
    <xf numFmtId="4" fontId="27" fillId="0" borderId="0" xfId="0" applyNumberFormat="1" applyFont="1" applyAlignment="1">
      <alignment vertical="center"/>
    </xf>
    <xf numFmtId="4" fontId="15" fillId="0" borderId="0" xfId="0" applyNumberFormat="1" applyFont="1" applyAlignment="1">
      <alignment vertical="center"/>
    </xf>
    <xf numFmtId="0" fontId="35" fillId="0" borderId="0" xfId="0" applyFont="1"/>
    <xf numFmtId="4" fontId="15" fillId="0" borderId="0" xfId="0" applyNumberFormat="1" applyFont="1" applyAlignment="1">
      <alignment horizontal="left" vertical="center" indent="1"/>
    </xf>
    <xf numFmtId="169" fontId="27"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5" fillId="0" borderId="0" xfId="0" applyNumberFormat="1" applyFont="1" applyAlignment="1">
      <alignment horizontal="center" vertical="center" wrapText="1"/>
    </xf>
    <xf numFmtId="165" fontId="35" fillId="0" borderId="2" xfId="0" applyNumberFormat="1" applyFont="1" applyBorder="1" applyAlignment="1">
      <alignment horizontal="center" vertical="center" wrapText="1"/>
    </xf>
    <xf numFmtId="14" fontId="3" fillId="16" borderId="0" xfId="0" applyNumberFormat="1" applyFont="1" applyFill="1"/>
    <xf numFmtId="173" fontId="70" fillId="16" borderId="0" xfId="0" applyNumberFormat="1" applyFont="1" applyFill="1"/>
    <xf numFmtId="0" fontId="7" fillId="16" borderId="0" xfId="2" applyFont="1" applyFill="1"/>
    <xf numFmtId="0" fontId="3" fillId="24" borderId="12"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3" xfId="0" applyFont="1" applyFill="1" applyBorder="1" applyAlignment="1">
      <alignment horizontal="center" vertical="center" wrapText="1"/>
    </xf>
    <xf numFmtId="0" fontId="3" fillId="24" borderId="0" xfId="0" applyFont="1" applyFill="1" applyAlignment="1">
      <alignment horizontal="center" vertical="center" wrapText="1"/>
    </xf>
    <xf numFmtId="0" fontId="56" fillId="16" borderId="0" xfId="4" applyFont="1" applyFill="1" applyAlignment="1" applyProtection="1">
      <alignment horizontal="left" vertical="center"/>
    </xf>
    <xf numFmtId="0" fontId="57" fillId="16" borderId="0" xfId="0" applyFont="1" applyFill="1"/>
    <xf numFmtId="0" fontId="72"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0" fontId="59" fillId="7" borderId="9" xfId="0" applyFont="1" applyFill="1" applyBorder="1" applyAlignment="1">
      <alignment horizontal="center" vertical="center" wrapText="1"/>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7" fillId="3" borderId="3" xfId="0"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19" fillId="0" borderId="20" xfId="0" applyFont="1" applyBorder="1"/>
    <xf numFmtId="165" fontId="3" fillId="0" borderId="20" xfId="0" applyNumberFormat="1" applyFont="1" applyBorder="1" applyAlignment="1">
      <alignment horizontal="center" vertical="center" wrapText="1"/>
    </xf>
    <xf numFmtId="165" fontId="10" fillId="0" borderId="20" xfId="0" applyNumberFormat="1" applyFont="1" applyBorder="1" applyAlignment="1">
      <alignment horizontal="center" vertical="center" wrapText="1"/>
    </xf>
    <xf numFmtId="164" fontId="3" fillId="0" borderId="20" xfId="0" applyNumberFormat="1" applyFont="1" applyBorder="1" applyAlignment="1">
      <alignment horizontal="center"/>
    </xf>
    <xf numFmtId="173" fontId="3" fillId="0" borderId="20" xfId="0" applyNumberFormat="1" applyFont="1" applyBorder="1" applyAlignment="1">
      <alignment horizontal="center"/>
    </xf>
    <xf numFmtId="164" fontId="10" fillId="0" borderId="20" xfId="0" applyNumberFormat="1" applyFont="1" applyBorder="1" applyAlignment="1">
      <alignment horizontal="center"/>
    </xf>
    <xf numFmtId="0" fontId="18" fillId="12" borderId="20" xfId="0" applyFont="1" applyFill="1" applyBorder="1"/>
    <xf numFmtId="165" fontId="21" fillId="12" borderId="20" xfId="0" applyNumberFormat="1" applyFont="1" applyFill="1" applyBorder="1" applyAlignment="1">
      <alignment horizontal="center" vertical="center" wrapText="1"/>
    </xf>
    <xf numFmtId="164" fontId="18" fillId="12" borderId="20" xfId="0" applyNumberFormat="1" applyFont="1" applyFill="1" applyBorder="1" applyAlignment="1">
      <alignment horizontal="center"/>
    </xf>
    <xf numFmtId="173" fontId="18" fillId="12" borderId="20"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0" fontId="6" fillId="21" borderId="0" xfId="0" applyFont="1" applyFill="1" applyAlignment="1">
      <alignment vertical="center" wrapText="1"/>
    </xf>
    <xf numFmtId="0" fontId="26" fillId="16" borderId="0" xfId="0" applyFont="1" applyFill="1" applyAlignment="1">
      <alignment vertical="center" wrapText="1"/>
    </xf>
    <xf numFmtId="0" fontId="26" fillId="16" borderId="4" xfId="0" applyFont="1" applyFill="1" applyBorder="1" applyAlignment="1">
      <alignment vertical="center" wrapText="1"/>
    </xf>
    <xf numFmtId="3" fontId="42" fillId="0" borderId="2" xfId="0" applyNumberFormat="1" applyFont="1" applyBorder="1" applyAlignment="1">
      <alignment horizontal="center" vertical="center" wrapText="1"/>
    </xf>
    <xf numFmtId="164" fontId="45" fillId="16" borderId="0" xfId="0" applyNumberFormat="1" applyFont="1" applyFill="1"/>
    <xf numFmtId="0" fontId="11" fillId="16" borderId="44" xfId="0" applyFont="1" applyFill="1" applyBorder="1"/>
    <xf numFmtId="0" fontId="62" fillId="22" borderId="39" xfId="0" applyFont="1" applyFill="1" applyBorder="1" applyAlignment="1">
      <alignment vertical="center"/>
    </xf>
    <xf numFmtId="14" fontId="61" fillId="3" borderId="39" xfId="1" applyNumberFormat="1" applyFont="1" applyFill="1" applyBorder="1" applyAlignment="1" applyProtection="1">
      <alignment horizontal="left" vertical="center" indent="2"/>
      <protection locked="0"/>
    </xf>
    <xf numFmtId="0" fontId="62" fillId="22" borderId="4" xfId="0" applyFont="1" applyFill="1" applyBorder="1" applyAlignment="1">
      <alignment vertical="center"/>
    </xf>
    <xf numFmtId="14" fontId="61" fillId="3" borderId="4" xfId="1" applyNumberFormat="1" applyFont="1" applyFill="1" applyBorder="1" applyAlignment="1" applyProtection="1">
      <alignment horizontal="left" vertical="center" indent="2"/>
      <protection locked="0"/>
    </xf>
    <xf numFmtId="0" fontId="15" fillId="25" borderId="19" xfId="0" applyFont="1" applyFill="1" applyBorder="1" applyAlignment="1">
      <alignment horizontal="center" vertical="center" wrapText="1"/>
    </xf>
    <xf numFmtId="0" fontId="12" fillId="25" borderId="0" xfId="0" applyFont="1" applyFill="1"/>
    <xf numFmtId="0" fontId="64"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2" fillId="16" borderId="0" xfId="0" applyFont="1" applyFill="1" applyAlignment="1" applyProtection="1">
      <alignment vertical="center" wrapText="1"/>
      <protection locked="0"/>
    </xf>
    <xf numFmtId="4" fontId="48" fillId="3" borderId="0" xfId="0" applyNumberFormat="1" applyFont="1" applyFill="1" applyAlignment="1" applyProtection="1">
      <alignment vertical="center"/>
      <protection locked="0"/>
    </xf>
    <xf numFmtId="0" fontId="74"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2" fillId="16" borderId="0" xfId="0" applyFont="1" applyFill="1" applyAlignment="1" applyProtection="1">
      <alignment horizontal="left" vertical="center" wrapText="1"/>
      <protection locked="0"/>
    </xf>
    <xf numFmtId="171" fontId="48" fillId="16" borderId="0" xfId="0" applyNumberFormat="1" applyFont="1" applyFill="1" applyAlignment="1" applyProtection="1">
      <alignment horizontal="center" vertical="center" wrapText="1"/>
      <protection locked="0"/>
    </xf>
    <xf numFmtId="0" fontId="52" fillId="16" borderId="0" xfId="0" quotePrefix="1" applyFont="1" applyFill="1" applyProtection="1">
      <protection locked="0"/>
    </xf>
    <xf numFmtId="169" fontId="58" fillId="16" borderId="0" xfId="0" quotePrefix="1" applyNumberFormat="1" applyFont="1" applyFill="1" applyAlignment="1" applyProtection="1">
      <alignment horizontal="center" vertical="center" wrapText="1"/>
      <protection locked="0"/>
    </xf>
    <xf numFmtId="169" fontId="52" fillId="16" borderId="0" xfId="0" applyNumberFormat="1" applyFont="1" applyFill="1" applyAlignment="1" applyProtection="1">
      <alignment horizontal="center" vertical="center" wrapText="1"/>
      <protection locked="0"/>
    </xf>
    <xf numFmtId="9" fontId="52" fillId="16" borderId="0" xfId="3" applyFont="1" applyFill="1" applyBorder="1" applyAlignment="1" applyProtection="1">
      <alignment horizontal="center" vertical="center" wrapText="1"/>
      <protection locked="0"/>
    </xf>
    <xf numFmtId="0" fontId="57"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49" fillId="16" borderId="0" xfId="0" applyFont="1" applyFill="1" applyProtection="1">
      <protection locked="0"/>
    </xf>
    <xf numFmtId="4" fontId="48" fillId="16" borderId="0" xfId="0" applyNumberFormat="1" applyFont="1" applyFill="1" applyAlignment="1" applyProtection="1">
      <alignment vertical="center"/>
      <protection locked="0"/>
    </xf>
    <xf numFmtId="0" fontId="3" fillId="17" borderId="0" xfId="0" applyFont="1" applyFill="1" applyProtection="1">
      <protection locked="0"/>
    </xf>
    <xf numFmtId="0" fontId="48" fillId="16" borderId="0" xfId="0" applyFont="1" applyFill="1" applyAlignment="1" applyProtection="1">
      <alignment vertical="center"/>
      <protection locked="0"/>
    </xf>
    <xf numFmtId="0" fontId="3" fillId="20" borderId="0" xfId="0" applyFont="1" applyFill="1" applyProtection="1">
      <protection locked="0"/>
    </xf>
    <xf numFmtId="0" fontId="49" fillId="16" borderId="0" xfId="0" applyFont="1" applyFill="1" applyAlignment="1" applyProtection="1">
      <alignment horizontal="center"/>
      <protection locked="0"/>
    </xf>
    <xf numFmtId="0" fontId="49" fillId="16" borderId="0" xfId="0" applyFont="1" applyFill="1" applyAlignment="1" applyProtection="1">
      <alignment horizontal="left"/>
      <protection locked="0"/>
    </xf>
    <xf numFmtId="0" fontId="3" fillId="18" borderId="0" xfId="0" applyFont="1" applyFill="1" applyProtection="1">
      <protection locked="0"/>
    </xf>
    <xf numFmtId="0" fontId="52" fillId="16" borderId="0" xfId="0" applyFont="1" applyFill="1" applyAlignment="1" applyProtection="1">
      <alignment vertical="center"/>
      <protection locked="0"/>
    </xf>
    <xf numFmtId="0" fontId="55" fillId="16" borderId="0" xfId="0" applyFont="1" applyFill="1" applyAlignment="1" applyProtection="1">
      <alignment horizontal="left" vertical="center" wrapText="1" indent="2"/>
      <protection locked="0"/>
    </xf>
    <xf numFmtId="0" fontId="54" fillId="16" borderId="0" xfId="0" applyFont="1" applyFill="1" applyAlignment="1" applyProtection="1">
      <alignment vertical="top" wrapText="1"/>
      <protection locked="0"/>
    </xf>
    <xf numFmtId="0" fontId="35" fillId="16" borderId="0" xfId="0" applyFont="1" applyFill="1" applyAlignment="1" applyProtection="1">
      <alignment vertical="center" wrapText="1"/>
      <protection locked="0"/>
    </xf>
    <xf numFmtId="0" fontId="3" fillId="19" borderId="0" xfId="0" applyFont="1" applyFill="1" applyProtection="1">
      <protection locked="0"/>
    </xf>
    <xf numFmtId="0" fontId="52" fillId="16" borderId="0" xfId="0" applyFont="1" applyFill="1" applyProtection="1">
      <protection locked="0"/>
    </xf>
    <xf numFmtId="169" fontId="51" fillId="16" borderId="0" xfId="0" applyNumberFormat="1" applyFont="1" applyFill="1" applyAlignment="1" applyProtection="1">
      <alignment horizontal="center" vertical="center" wrapText="1"/>
      <protection locked="0"/>
    </xf>
    <xf numFmtId="0" fontId="53"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3"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4" fillId="16" borderId="0" xfId="0" applyFont="1" applyFill="1" applyAlignment="1">
      <alignment wrapText="1"/>
    </xf>
    <xf numFmtId="0" fontId="52" fillId="16" borderId="0" xfId="0" applyFont="1" applyFill="1" applyAlignment="1">
      <alignment horizontal="left" vertical="center" wrapText="1"/>
    </xf>
    <xf numFmtId="0" fontId="53" fillId="16" borderId="0" xfId="0" quotePrefix="1" applyFont="1" applyFill="1" applyAlignment="1">
      <alignment horizontal="left" vertical="center" indent="1"/>
    </xf>
    <xf numFmtId="169" fontId="52" fillId="16" borderId="0" xfId="0" applyNumberFormat="1" applyFont="1" applyFill="1" applyAlignment="1">
      <alignment horizontal="center" vertical="center" wrapText="1"/>
    </xf>
    <xf numFmtId="0" fontId="52" fillId="23" borderId="30" xfId="0" quotePrefix="1" applyFont="1" applyFill="1" applyBorder="1"/>
    <xf numFmtId="0" fontId="3" fillId="16" borderId="28" xfId="0" applyFont="1" applyFill="1" applyBorder="1"/>
    <xf numFmtId="0" fontId="52" fillId="23" borderId="29"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5" fillId="16" borderId="0" xfId="0" applyFont="1" applyFill="1" applyAlignment="1">
      <alignment vertical="center" wrapText="1"/>
    </xf>
    <xf numFmtId="0" fontId="67" fillId="16" borderId="0" xfId="0" applyFont="1" applyFill="1" applyAlignment="1">
      <alignment wrapText="1"/>
    </xf>
    <xf numFmtId="0" fontId="67" fillId="16" borderId="0" xfId="0" applyFont="1" applyFill="1"/>
    <xf numFmtId="0" fontId="68" fillId="4" borderId="29" xfId="0" applyFont="1" applyFill="1" applyBorder="1" applyAlignment="1">
      <alignment horizontal="center" vertical="center" wrapText="1"/>
    </xf>
    <xf numFmtId="0" fontId="67" fillId="16" borderId="28" xfId="0" applyFont="1" applyFill="1" applyBorder="1"/>
    <xf numFmtId="0" fontId="69" fillId="16" borderId="0" xfId="0" quotePrefix="1" applyFont="1" applyFill="1" applyAlignment="1">
      <alignment horizontal="center"/>
    </xf>
    <xf numFmtId="169" fontId="69"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7" xfId="0" applyNumberFormat="1" applyFont="1" applyBorder="1" applyAlignment="1">
      <alignment horizontal="center"/>
    </xf>
    <xf numFmtId="172" fontId="3" fillId="16" borderId="0" xfId="0" applyNumberFormat="1" applyFont="1" applyFill="1"/>
    <xf numFmtId="172" fontId="3" fillId="0" borderId="36" xfId="0" applyNumberFormat="1" applyFont="1" applyBorder="1" applyAlignment="1">
      <alignment horizontal="center"/>
    </xf>
    <xf numFmtId="172" fontId="3" fillId="16" borderId="0" xfId="0" applyNumberFormat="1" applyFont="1" applyFill="1" applyAlignment="1">
      <alignment wrapText="1"/>
    </xf>
    <xf numFmtId="165" fontId="3" fillId="0" borderId="36" xfId="0" applyNumberFormat="1" applyFont="1" applyBorder="1" applyAlignment="1">
      <alignment horizontal="center"/>
    </xf>
    <xf numFmtId="172" fontId="3" fillId="16" borderId="16" xfId="0" applyNumberFormat="1" applyFont="1" applyFill="1" applyBorder="1"/>
    <xf numFmtId="172" fontId="55" fillId="16" borderId="0" xfId="0" applyNumberFormat="1" applyFont="1" applyFill="1" applyAlignment="1">
      <alignment horizontal="left" vertical="center" wrapText="1" indent="3"/>
    </xf>
    <xf numFmtId="172" fontId="54" fillId="16" borderId="0" xfId="0" applyNumberFormat="1" applyFont="1" applyFill="1" applyAlignment="1">
      <alignment vertical="top" wrapText="1"/>
    </xf>
    <xf numFmtId="165" fontId="3" fillId="0" borderId="27" xfId="0" applyNumberFormat="1" applyFont="1" applyBorder="1" applyAlignment="1">
      <alignment horizontal="center"/>
    </xf>
    <xf numFmtId="172" fontId="3" fillId="0" borderId="37" xfId="0" applyNumberFormat="1" applyFont="1" applyBorder="1" applyAlignment="1">
      <alignment horizontal="center" vertical="top" wrapText="1"/>
    </xf>
    <xf numFmtId="172" fontId="3" fillId="0" borderId="16" xfId="0" applyNumberFormat="1" applyFont="1" applyBorder="1" applyAlignment="1">
      <alignment horizontal="center" vertical="top" wrapText="1"/>
    </xf>
    <xf numFmtId="165" fontId="3" fillId="0" borderId="15" xfId="0" applyNumberFormat="1" applyFont="1" applyBorder="1" applyAlignment="1">
      <alignment horizontal="center" vertical="top" wrapText="1"/>
    </xf>
    <xf numFmtId="172" fontId="3" fillId="16" borderId="17" xfId="0" applyNumberFormat="1" applyFont="1" applyFill="1" applyBorder="1"/>
    <xf numFmtId="172" fontId="52" fillId="16" borderId="16" xfId="0" applyNumberFormat="1" applyFont="1" applyFill="1" applyBorder="1"/>
    <xf numFmtId="172" fontId="51" fillId="16" borderId="0" xfId="0" applyNumberFormat="1" applyFont="1" applyFill="1" applyAlignment="1">
      <alignment horizontal="center" vertical="center" wrapText="1"/>
    </xf>
    <xf numFmtId="0" fontId="3" fillId="16" borderId="40" xfId="0" applyFont="1" applyFill="1" applyBorder="1"/>
    <xf numFmtId="0" fontId="53" fillId="16" borderId="16" xfId="0" quotePrefix="1" applyFont="1" applyFill="1" applyBorder="1" applyAlignment="1">
      <alignment horizontal="left" indent="1"/>
    </xf>
    <xf numFmtId="172" fontId="3" fillId="0" borderId="15" xfId="0" applyNumberFormat="1" applyFont="1" applyBorder="1" applyAlignment="1">
      <alignment horizontal="center" vertical="center"/>
    </xf>
    <xf numFmtId="172" fontId="3" fillId="16" borderId="41" xfId="0" applyNumberFormat="1" applyFont="1" applyFill="1" applyBorder="1" applyAlignment="1">
      <alignment horizontal="center" vertical="center"/>
    </xf>
    <xf numFmtId="165" fontId="3" fillId="0" borderId="16" xfId="0" applyNumberFormat="1" applyFont="1" applyBorder="1" applyAlignment="1">
      <alignment horizontal="center" vertical="center"/>
    </xf>
    <xf numFmtId="172" fontId="53" fillId="16" borderId="16" xfId="0" quotePrefix="1" applyNumberFormat="1" applyFont="1" applyFill="1" applyBorder="1" applyAlignment="1">
      <alignment horizontal="left" indent="1"/>
    </xf>
    <xf numFmtId="172" fontId="52" fillId="16" borderId="0" xfId="0" applyNumberFormat="1" applyFont="1" applyFill="1" applyAlignment="1">
      <alignment horizontal="center" vertical="center" wrapText="1"/>
    </xf>
    <xf numFmtId="0" fontId="15" fillId="14" borderId="19" xfId="0" applyFont="1" applyFill="1" applyBorder="1" applyAlignment="1">
      <alignment vertical="center" wrapText="1"/>
    </xf>
    <xf numFmtId="169" fontId="17" fillId="0" borderId="3" xfId="0" applyNumberFormat="1" applyFont="1" applyBorder="1" applyAlignment="1">
      <alignment horizontal="center" vertical="center" wrapText="1"/>
    </xf>
    <xf numFmtId="17" fontId="3" fillId="0" borderId="0" xfId="0" applyNumberFormat="1" applyFont="1" applyAlignment="1">
      <alignment horizontal="center" vertical="center" wrapText="1"/>
    </xf>
    <xf numFmtId="165" fontId="17" fillId="0" borderId="2" xfId="0" applyNumberFormat="1" applyFont="1" applyBorder="1" applyAlignment="1">
      <alignment horizontal="center" vertical="center" wrapText="1"/>
    </xf>
    <xf numFmtId="0" fontId="3" fillId="4" borderId="3" xfId="0" applyFont="1" applyFill="1" applyBorder="1" applyAlignment="1">
      <alignment vertical="center" wrapText="1"/>
    </xf>
    <xf numFmtId="0" fontId="75" fillId="16" borderId="8" xfId="0" applyFont="1" applyFill="1" applyBorder="1" applyAlignment="1">
      <alignment horizontal="center" vertical="center"/>
    </xf>
    <xf numFmtId="0" fontId="3" fillId="24" borderId="8" xfId="0" applyFont="1" applyFill="1" applyBorder="1" applyAlignment="1">
      <alignment horizontal="left" vertical="center" wrapText="1" indent="1"/>
    </xf>
    <xf numFmtId="0" fontId="3" fillId="24" borderId="11" xfId="0" applyFont="1" applyFill="1" applyBorder="1" applyAlignment="1">
      <alignment horizontal="left" vertical="center" wrapText="1" indent="1"/>
    </xf>
    <xf numFmtId="0" fontId="59" fillId="7" borderId="9" xfId="0" applyFont="1" applyFill="1" applyBorder="1" applyAlignment="1">
      <alignment horizontal="center" vertical="center" wrapText="1"/>
    </xf>
    <xf numFmtId="0" fontId="56" fillId="16" borderId="0" xfId="4" applyFont="1" applyFill="1" applyAlignment="1" applyProtection="1">
      <alignment horizontal="center" vertical="center"/>
    </xf>
    <xf numFmtId="0" fontId="6" fillId="21" borderId="0" xfId="0" applyFont="1" applyFill="1" applyAlignment="1">
      <alignment horizontal="center" vertical="center"/>
    </xf>
    <xf numFmtId="0" fontId="72" fillId="21" borderId="0" xfId="0" applyFont="1" applyFill="1" applyAlignment="1">
      <alignment horizontal="left" vertical="center"/>
    </xf>
    <xf numFmtId="0" fontId="72" fillId="21" borderId="0" xfId="0" applyFont="1" applyFill="1" applyAlignment="1">
      <alignment horizontal="center" vertical="center"/>
    </xf>
    <xf numFmtId="0" fontId="36" fillId="16" borderId="0" xfId="0" applyFont="1" applyFill="1" applyAlignment="1">
      <alignment horizontal="left" vertical="center" wrapText="1"/>
    </xf>
    <xf numFmtId="0" fontId="59" fillId="10" borderId="0" xfId="0" applyFont="1" applyFill="1" applyAlignment="1">
      <alignment horizontal="center" vertical="center" wrapText="1"/>
    </xf>
    <xf numFmtId="0" fontId="59"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19" xfId="0" applyFont="1" applyFill="1" applyBorder="1" applyAlignment="1">
      <alignment horizontal="center" vertical="center" wrapText="1"/>
    </xf>
    <xf numFmtId="0" fontId="63" fillId="21" borderId="19" xfId="0" applyFont="1" applyFill="1" applyBorder="1" applyAlignment="1">
      <alignment horizontal="center" vertical="center" wrapText="1"/>
    </xf>
    <xf numFmtId="0" fontId="63" fillId="21" borderId="14" xfId="0" applyFont="1" applyFill="1" applyBorder="1" applyAlignment="1">
      <alignment horizontal="center" vertical="center" wrapText="1"/>
    </xf>
    <xf numFmtId="0" fontId="23" fillId="21" borderId="19" xfId="0" applyFont="1" applyFill="1" applyBorder="1" applyAlignment="1">
      <alignment horizontal="center" vertical="center" wrapText="1"/>
    </xf>
    <xf numFmtId="0" fontId="23" fillId="21" borderId="14"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73" fillId="16" borderId="0" xfId="0" applyFont="1" applyFill="1" applyAlignment="1">
      <alignment horizontal="left" vertical="center" wrapText="1" indent="2"/>
    </xf>
    <xf numFmtId="9" fontId="3" fillId="0" borderId="42" xfId="0" applyNumberFormat="1" applyFont="1" applyBorder="1" applyAlignment="1">
      <alignment horizontal="center" vertical="center" wrapText="1"/>
    </xf>
    <xf numFmtId="9" fontId="3" fillId="0" borderId="38" xfId="0" applyNumberFormat="1" applyFont="1" applyBorder="1" applyAlignment="1">
      <alignment horizontal="center" vertical="center" wrapText="1"/>
    </xf>
    <xf numFmtId="9" fontId="3" fillId="0" borderId="43" xfId="0" applyNumberFormat="1" applyFont="1" applyBorder="1" applyAlignment="1">
      <alignment horizontal="center" vertical="center" wrapText="1"/>
    </xf>
    <xf numFmtId="0" fontId="35" fillId="3" borderId="0" xfId="0" applyFont="1" applyFill="1" applyAlignment="1">
      <alignment horizontal="left" vertical="center" wrapText="1"/>
    </xf>
    <xf numFmtId="9" fontId="65" fillId="0" borderId="31" xfId="0" applyNumberFormat="1" applyFont="1" applyBorder="1" applyAlignment="1">
      <alignment horizontal="center" vertical="center" wrapText="1"/>
    </xf>
    <xf numFmtId="9" fontId="65" fillId="0" borderId="32" xfId="0" applyNumberFormat="1" applyFont="1" applyBorder="1" applyAlignment="1">
      <alignment horizontal="center" vertical="center" wrapText="1"/>
    </xf>
    <xf numFmtId="9" fontId="65" fillId="0" borderId="33" xfId="0" applyNumberFormat="1" applyFont="1" applyBorder="1" applyAlignment="1">
      <alignment horizontal="center" vertical="center" wrapText="1"/>
    </xf>
    <xf numFmtId="9" fontId="65" fillId="0" borderId="18" xfId="0" applyNumberFormat="1" applyFont="1" applyBorder="1" applyAlignment="1">
      <alignment horizontal="center" vertical="center" wrapText="1"/>
    </xf>
    <xf numFmtId="9" fontId="65" fillId="0" borderId="34" xfId="0" applyNumberFormat="1" applyFont="1" applyBorder="1" applyAlignment="1">
      <alignment horizontal="center" vertical="center" wrapText="1"/>
    </xf>
    <xf numFmtId="9" fontId="65" fillId="0" borderId="35" xfId="0" applyNumberFormat="1" applyFont="1" applyBorder="1" applyAlignment="1">
      <alignment horizontal="center" vertical="center" wrapText="1"/>
    </xf>
    <xf numFmtId="0" fontId="65" fillId="4" borderId="0" xfId="0" applyFont="1" applyFill="1" applyAlignment="1">
      <alignment horizontal="center" vertical="center" wrapText="1"/>
    </xf>
    <xf numFmtId="0" fontId="65" fillId="4" borderId="18" xfId="0" applyFont="1" applyFill="1" applyBorder="1" applyAlignment="1">
      <alignment horizontal="center" vertical="center" wrapText="1"/>
    </xf>
    <xf numFmtId="0" fontId="52" fillId="16" borderId="0" xfId="0" applyFont="1" applyFill="1" applyAlignment="1" applyProtection="1">
      <alignment horizontal="center" vertical="center" wrapText="1"/>
      <protection locked="0"/>
    </xf>
    <xf numFmtId="0" fontId="71" fillId="16" borderId="0" xfId="0" applyFont="1" applyFill="1" applyAlignment="1" applyProtection="1">
      <alignment horizontal="center" vertical="center" wrapText="1"/>
      <protection locked="0"/>
    </xf>
    <xf numFmtId="0" fontId="71" fillId="16" borderId="0" xfId="0" applyFont="1" applyFill="1" applyAlignment="1" applyProtection="1">
      <alignment horizontal="center" wrapText="1"/>
      <protection locked="0"/>
    </xf>
    <xf numFmtId="0" fontId="49"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8"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66" fillId="16" borderId="0" xfId="0" applyFont="1" applyFill="1" applyAlignment="1">
      <alignment horizontal="center" wrapText="1"/>
    </xf>
    <xf numFmtId="0" fontId="3" fillId="22" borderId="2" xfId="0" applyFont="1" applyFill="1" applyBorder="1" applyAlignment="1">
      <alignment horizontal="center"/>
    </xf>
    <xf numFmtId="0" fontId="27" fillId="22" borderId="2" xfId="0" applyFont="1" applyFill="1" applyBorder="1" applyAlignment="1">
      <alignment horizontal="center" vertical="center"/>
    </xf>
    <xf numFmtId="0" fontId="3" fillId="0" borderId="0" xfId="0" applyNumberFormat="1" applyFont="1"/>
  </cellXfs>
  <cellStyles count="6">
    <cellStyle name="20% - Accent1" xfId="1" builtinId="30"/>
    <cellStyle name="Hyperlink" xfId="4" builtinId="8"/>
    <cellStyle name="Normal" xfId="0" builtinId="0"/>
    <cellStyle name="Normal 2" xfId="2" xr:uid="{00000000-0005-0000-0000-000002000000}"/>
    <cellStyle name="Normal 3" xfId="5" xr:uid="{63E2C39A-94B4-45AB-9ED9-05EFD7F250D6}"/>
    <cellStyle name="Percent" xfId="3" builtinId="5"/>
  </cellStyles>
  <dxfs count="120">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169"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165" formatCode="[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19"/>
    </tableStyle>
    <tableStyle name="Slicer Style 1" pivot="0" table="0" count="1" xr9:uid="{F57D6513-AC47-4077-9F8D-C40FD9A6BFDA}">
      <tableStyleElement type="wholeTable" dxfId="118"/>
    </tableStyle>
    <tableStyle name="Slicer Style 2" pivot="0" table="0" count="1" xr9:uid="{01BD0BB3-5670-42DB-97C2-63B1C6D3857D}">
      <tableStyleElement type="wholeTable" dxfId="117"/>
    </tableStyle>
    <tableStyle name="Slicer Style 3" pivot="0" table="0" count="1" xr9:uid="{93557E10-2300-44AC-8EEB-27707F876CC7}">
      <tableStyleElement type="headerRow" dxfId="116"/>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Progress'!$X$32</c:f>
              <c:strCache>
                <c:ptCount val="1"/>
                <c:pt idx="0">
                  <c:v>Syllubus(T)</c:v>
                </c:pt>
              </c:strCache>
            </c:strRef>
          </c:tx>
          <c:spPr>
            <a:solidFill>
              <a:schemeClr val="bg2">
                <a:lumMod val="90000"/>
              </a:schemeClr>
            </a:solidFill>
            <a:ln>
              <a:noFill/>
            </a:ln>
            <a:effectLst/>
          </c:spPr>
          <c:invertIfNegative val="0"/>
          <c:dLbls>
            <c:dLbl>
              <c:idx val="0"/>
              <c:tx>
                <c:rich>
                  <a:bodyPr/>
                  <a:lstStyle/>
                  <a:p>
                    <a:fld id="{6E7F654F-AC00-4573-B579-B3677E0B1AF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4EE-422A-8173-85E89CCAC774}"/>
                </c:ext>
              </c:extLst>
            </c:dLbl>
            <c:dLbl>
              <c:idx val="1"/>
              <c:tx>
                <c:rich>
                  <a:bodyPr/>
                  <a:lstStyle/>
                  <a:p>
                    <a:fld id="{1D68C9B2-4C53-46F7-B23F-52CF5A81A13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958983F5-E833-4DD2-A2C2-4C6E1948E15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481B5D6C-108D-48E4-A322-4E3AE21989D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Progress'!$X$33:$X$36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Progress'!$P$33:$P$36</c15:f>
                <c15:dlblRangeCache>
                  <c:ptCount val="4"/>
                  <c:pt idx="0">
                    <c:v>11</c:v>
                  </c:pt>
                  <c:pt idx="1">
                    <c:v>15</c:v>
                  </c:pt>
                  <c:pt idx="2">
                    <c:v>20</c:v>
                  </c:pt>
                  <c:pt idx="3">
                    <c:v>17</c:v>
                  </c:pt>
                </c15:dlblRangeCache>
              </c15:datalabelsRange>
            </c:ext>
            <c:ext xmlns:c16="http://schemas.microsoft.com/office/drawing/2014/chart" uri="{C3380CC4-5D6E-409C-BE32-E72D297353CC}">
              <c16:uniqueId val="{0000000A-54EE-422A-8173-85E89CCAC774}"/>
            </c:ext>
          </c:extLst>
        </c:ser>
        <c:ser>
          <c:idx val="3"/>
          <c:order val="3"/>
          <c:tx>
            <c:strRef>
              <c:f>'📊 Progress'!$Z$32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C1995ABA-07B1-4DAB-9CC7-F76150FF892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4EE-422A-8173-85E89CCAC774}"/>
                </c:ext>
              </c:extLst>
            </c:dLbl>
            <c:dLbl>
              <c:idx val="1"/>
              <c:tx>
                <c:rich>
                  <a:bodyPr/>
                  <a:lstStyle/>
                  <a:p>
                    <a:fld id="{AF2DF32B-EC95-455F-B328-E28034FF202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89106B4F-0A36-4F60-90B2-6193DF48DCF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9ED20B2E-1E14-42D2-B9CA-425FD07BDE8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Progress'!$Z$33:$Z$36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Progress'!$N$33:$N$36</c15:f>
                <c15:dlblRangeCache>
                  <c:ptCount val="4"/>
                  <c:pt idx="0">
                    <c:v>11</c:v>
                  </c:pt>
                  <c:pt idx="1">
                    <c:v>15</c:v>
                  </c:pt>
                  <c:pt idx="2">
                    <c:v>20</c:v>
                  </c:pt>
                  <c:pt idx="3">
                    <c:v>17</c:v>
                  </c:pt>
                </c15:dlblRangeCache>
              </c15:datalabelsRange>
            </c:ext>
            <c:ext xmlns:c16="http://schemas.microsoft.com/office/drawing/2014/chart" uri="{C3380CC4-5D6E-409C-BE32-E72D297353CC}">
              <c16:uniqueId val="{00000015-54EE-422A-8173-85E89CCAC774}"/>
            </c:ext>
          </c:extLst>
        </c:ser>
        <c:ser>
          <c:idx val="5"/>
          <c:order val="5"/>
          <c:tx>
            <c:strRef>
              <c:f>'📊 Progress'!$AB$32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DFC56D76-5CD1-4F41-85F9-6FF937EDD1B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4EE-422A-8173-85E89CCAC774}"/>
                </c:ext>
              </c:extLst>
            </c:dLbl>
            <c:dLbl>
              <c:idx val="1"/>
              <c:tx>
                <c:rich>
                  <a:bodyPr/>
                  <a:lstStyle/>
                  <a:p>
                    <a:fld id="{E644D427-E340-48A7-A980-051D0923DC3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A361DEC1-6503-4FC5-B1FE-B171773EC56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6A682862-9172-4226-A67C-A407574113F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Progress'!$AB$33:$AB$36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Progress'!$L$33:$L$36</c15:f>
                <c15:dlblRangeCache>
                  <c:ptCount val="4"/>
                  <c:pt idx="0">
                    <c:v>11</c:v>
                  </c:pt>
                  <c:pt idx="1">
                    <c:v>15</c:v>
                  </c:pt>
                  <c:pt idx="2">
                    <c:v>20</c:v>
                  </c:pt>
                  <c:pt idx="3">
                    <c:v>17</c:v>
                  </c:pt>
                </c15:dlblRangeCache>
              </c15:datalabelsRange>
            </c:ext>
            <c:ext xmlns:c16="http://schemas.microsoft.com/office/drawing/2014/chart" uri="{C3380CC4-5D6E-409C-BE32-E72D297353CC}">
              <c16:uniqueId val="{00000020-54EE-422A-8173-85E89CCAC774}"/>
            </c:ext>
          </c:extLst>
        </c:ser>
        <c:ser>
          <c:idx val="7"/>
          <c:order val="7"/>
          <c:tx>
            <c:strRef>
              <c:f>'📊 Progress'!$AD$32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42C7B8BD-D1EA-41BE-AC11-9EB53247BD8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4EE-422A-8173-85E89CCAC774}"/>
                </c:ext>
              </c:extLst>
            </c:dLbl>
            <c:dLbl>
              <c:idx val="1"/>
              <c:tx>
                <c:rich>
                  <a:bodyPr/>
                  <a:lstStyle/>
                  <a:p>
                    <a:fld id="{F6B180E1-3F32-46D1-BCAB-FEB86F58BA0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04D9C086-12A9-4A1B-84A9-773AA1876C7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AD5309B9-0F87-4183-81CE-326079DBC01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Progress'!$AD$33:$AD$36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Progress'!$S$33:$S$36</c15:f>
                <c15:dlblRangeCache>
                  <c:ptCount val="4"/>
                  <c:pt idx="0">
                    <c:v>11</c:v>
                  </c:pt>
                  <c:pt idx="1">
                    <c:v>15</c:v>
                  </c:pt>
                  <c:pt idx="2">
                    <c:v>20</c:v>
                  </c:pt>
                  <c:pt idx="3">
                    <c:v>17</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Progress'!$W$32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983F93A1-FDFB-4529-8BCB-E6DCB7C874E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43082420-F7C0-4C6A-A749-977569E228C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54EE-422A-8173-85E89CCAC774}"/>
                </c:ext>
              </c:extLst>
            </c:dLbl>
            <c:dLbl>
              <c:idx val="2"/>
              <c:tx>
                <c:rich>
                  <a:bodyPr/>
                  <a:lstStyle/>
                  <a:p>
                    <a:fld id="{D47D0E20-6BB3-4229-BDE1-3B88DFCD70F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54EE-422A-8173-85E89CCAC774}"/>
                </c:ext>
              </c:extLst>
            </c:dLbl>
            <c:dLbl>
              <c:idx val="3"/>
              <c:tx>
                <c:rich>
                  <a:bodyPr/>
                  <a:lstStyle/>
                  <a:p>
                    <a:fld id="{3CFBE975-AA15-424C-BF84-F7BA6A021B7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Progress'!$W$33:$W$36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Progress'!$O$33:$O$36</c15:f>
                <c15:dlblRangeCache>
                  <c:ptCount val="4"/>
                </c15:dlblRangeCache>
              </c15:datalabelsRange>
            </c:ext>
            <c:ext xmlns:c16="http://schemas.microsoft.com/office/drawing/2014/chart" uri="{C3380CC4-5D6E-409C-BE32-E72D297353CC}">
              <c16:uniqueId val="{00000036-54EE-422A-8173-85E89CCAC774}"/>
            </c:ext>
          </c:extLst>
        </c:ser>
        <c:ser>
          <c:idx val="2"/>
          <c:order val="2"/>
          <c:tx>
            <c:strRef>
              <c:f>'📊 Progress'!$Y$32</c:f>
              <c:strCache>
                <c:ptCount val="1"/>
                <c:pt idx="0">
                  <c:v>Practice(D)</c:v>
                </c:pt>
              </c:strCache>
            </c:strRef>
          </c:tx>
          <c:spPr>
            <a:solidFill>
              <a:srgbClr val="EC7524"/>
            </a:solidFill>
            <a:ln>
              <a:noFill/>
            </a:ln>
            <a:effectLst/>
          </c:spPr>
          <c:invertIfNegative val="0"/>
          <c:dLbls>
            <c:dLbl>
              <c:idx val="0"/>
              <c:tx>
                <c:rich>
                  <a:bodyPr/>
                  <a:lstStyle/>
                  <a:p>
                    <a:fld id="{8879E6F4-F2E8-4F4F-AFF0-A253DD1B28C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D87EED35-92A1-4D5A-865B-D99F3BC2B9F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54EE-422A-8173-85E89CCAC774}"/>
                </c:ext>
              </c:extLst>
            </c:dLbl>
            <c:dLbl>
              <c:idx val="2"/>
              <c:tx>
                <c:rich>
                  <a:bodyPr/>
                  <a:lstStyle/>
                  <a:p>
                    <a:fld id="{90DFA734-7436-4CA9-B83C-A578858EE70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54EE-422A-8173-85E89CCAC774}"/>
                </c:ext>
              </c:extLst>
            </c:dLbl>
            <c:dLbl>
              <c:idx val="3"/>
              <c:tx>
                <c:rich>
                  <a:bodyPr/>
                  <a:lstStyle/>
                  <a:p>
                    <a:fld id="{B32924B8-C88B-46E1-A59D-1AFF97D275A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Progress'!$Y$33:$Y$36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Progress'!$M$33:$M$36</c15:f>
                <c15:dlblRangeCache>
                  <c:ptCount val="4"/>
                </c15:dlblRangeCache>
              </c15:datalabelsRange>
            </c:ext>
            <c:ext xmlns:c16="http://schemas.microsoft.com/office/drawing/2014/chart" uri="{C3380CC4-5D6E-409C-BE32-E72D297353CC}">
              <c16:uniqueId val="{00000041-54EE-422A-8173-85E89CCAC774}"/>
            </c:ext>
          </c:extLst>
        </c:ser>
        <c:ser>
          <c:idx val="4"/>
          <c:order val="4"/>
          <c:tx>
            <c:strRef>
              <c:f>'📊 Progress'!$AA$32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317456BA-4AEF-4B49-BEA0-2BFBFDCAD0E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F869B34B-40DB-4708-B26B-E0DC83DE44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3-54EE-422A-8173-85E89CCAC774}"/>
                </c:ext>
              </c:extLst>
            </c:dLbl>
            <c:dLbl>
              <c:idx val="2"/>
              <c:tx>
                <c:rich>
                  <a:bodyPr/>
                  <a:lstStyle/>
                  <a:p>
                    <a:fld id="{27474101-4384-4D96-99EF-B7DEE8C9289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4-54EE-422A-8173-85E89CCAC774}"/>
                </c:ext>
              </c:extLst>
            </c:dLbl>
            <c:dLbl>
              <c:idx val="3"/>
              <c:tx>
                <c:rich>
                  <a:bodyPr/>
                  <a:lstStyle/>
                  <a:p>
                    <a:fld id="{FED375BF-5A9C-40EE-A998-FF5DF6A22BE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5-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Progress'!$AA$33:$AA$36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Progress'!$I$33:$I$36</c15:f>
                <c15:dlblRangeCache>
                  <c:ptCount val="4"/>
                </c15:dlblRangeCache>
              </c15:datalabelsRange>
            </c:ext>
            <c:ext xmlns:c16="http://schemas.microsoft.com/office/drawing/2014/chart" uri="{C3380CC4-5D6E-409C-BE32-E72D297353CC}">
              <c16:uniqueId val="{0000004C-54EE-422A-8173-85E89CCAC774}"/>
            </c:ext>
          </c:extLst>
        </c:ser>
        <c:ser>
          <c:idx val="6"/>
          <c:order val="6"/>
          <c:tx>
            <c:strRef>
              <c:f>'📊 Progress'!$AC$32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F6EB52C2-B685-42CD-B00A-CF58732ECAE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15DB665C-4477-4279-8314-F5D8820C85E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54EE-422A-8173-85E89CCAC774}"/>
                </c:ext>
              </c:extLst>
            </c:dLbl>
            <c:dLbl>
              <c:idx val="2"/>
              <c:tx>
                <c:rich>
                  <a:bodyPr/>
                  <a:lstStyle/>
                  <a:p>
                    <a:fld id="{4C2BC666-D75F-4016-BE71-9C72BBFBF66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54EE-422A-8173-85E89CCAC774}"/>
                </c:ext>
              </c:extLst>
            </c:dLbl>
            <c:dLbl>
              <c:idx val="3"/>
              <c:tx>
                <c:rich>
                  <a:bodyPr/>
                  <a:lstStyle/>
                  <a:p>
                    <a:fld id="{132C43E5-54DA-4C5E-87AB-AA011C816AC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0-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Progress'!$AC$33:$AC$36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Progress'!$R$33:$R$36</c15:f>
                <c15:dlblRangeCache>
                  <c:ptCount val="4"/>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Progress'!$AE$32</c:f>
              <c:strCache>
                <c:ptCount val="1"/>
                <c:pt idx="0">
                  <c:v>Confidence</c:v>
                </c:pt>
              </c:strCache>
            </c:strRef>
          </c:tx>
          <c:spPr>
            <a:ln w="57150" cap="rnd">
              <a:solidFill>
                <a:schemeClr val="bg1"/>
              </a:solidFill>
              <a:round/>
            </a:ln>
            <a:effectLst/>
          </c:spPr>
          <c:marker>
            <c:symbol val="none"/>
          </c:marker>
          <c:cat>
            <c:strRef>
              <c:f>'📊 Progress'!$C$33:$C$36</c:f>
              <c:strCache>
                <c:ptCount val="4"/>
                <c:pt idx="0">
                  <c:v>Foundation of Risk Mgmt</c:v>
                </c:pt>
                <c:pt idx="1">
                  <c:v>Quantitative Analysis</c:v>
                </c:pt>
                <c:pt idx="2">
                  <c:v>Financial Mkts &amp; Products</c:v>
                </c:pt>
                <c:pt idx="3">
                  <c:v>Valuation &amp; Risk Models</c:v>
                </c:pt>
              </c:strCache>
            </c:strRef>
          </c:cat>
          <c:val>
            <c:numRef>
              <c:f>'📊 Progress'!$AE$33:$AE$36</c:f>
              <c:numCache>
                <c:formatCode>0%</c:formatCode>
                <c:ptCount val="4"/>
                <c:pt idx="0">
                  <c:v>0.51794871794871788</c:v>
                </c:pt>
                <c:pt idx="1">
                  <c:v>0.47179487179487173</c:v>
                </c:pt>
                <c:pt idx="2">
                  <c:v>0.51500000000000001</c:v>
                </c:pt>
                <c:pt idx="3">
                  <c:v>0.47499999999999998</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[FRM Part 1 Performance Tracker '24.xlsx]Working!PivotTable4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1"/>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60000"/>
              <a:lumOff val="40000"/>
            </a:schemeClr>
          </a:solidFill>
          <a:ln w="19050">
            <a:solidFill>
              <a:schemeClr val="accent5">
                <a:lumMod val="60000"/>
                <a:lumOff val="40000"/>
              </a:schemeClr>
            </a:solidFill>
          </a:ln>
          <a:effectLst/>
        </c:spPr>
      </c:pivotFmt>
      <c:pivotFmt>
        <c:idx val="10"/>
        <c:spPr>
          <a:solidFill>
            <a:schemeClr val="accent5">
              <a:lumMod val="20000"/>
              <a:lumOff val="8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6-55B2-4737-992F-B3AEFCA160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15</c:v>
                </c:pt>
              </c:numCache>
            </c:numRef>
          </c:val>
          <c:extLst>
            <c:ext xmlns:c16="http://schemas.microsoft.com/office/drawing/2014/chart" uri="{C3380CC4-5D6E-409C-BE32-E72D297353CC}">
              <c16:uniqueId val="{00000004-55B2-4737-992F-B3AEFCA16046}"/>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[FRM Part 1 Performance Tracker '24.xlsx]Working!PivotTable5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noFill/>
          </a:ln>
          <a:effectLst/>
        </c:spPr>
      </c:pivotFmt>
      <c:pivotFmt>
        <c:idx val="9"/>
        <c:spPr>
          <a:solidFill>
            <a:schemeClr val="accent6"/>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4">
              <a:lumMod val="60000"/>
              <a:lumOff val="40000"/>
            </a:schemeClr>
          </a:solidFill>
          <a:ln w="19050">
            <a:solidFill>
              <a:schemeClr val="accent4">
                <a:lumMod val="60000"/>
                <a:lumOff val="40000"/>
              </a:schemeClr>
            </a:solidFill>
          </a:ln>
          <a:effectLst/>
        </c:spPr>
      </c:pivotFmt>
      <c:pivotFmt>
        <c:idx val="11"/>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6-FD5F-4AB9-92B0-C6BD8A7A189E}"/>
              </c:ext>
            </c:extLst>
          </c:dPt>
          <c:dPt>
            <c:idx val="1"/>
            <c:bubble3D val="0"/>
            <c:spPr>
              <a:solidFill>
                <a:schemeClr val="accent6">
                  <a:tint val="30000"/>
                </a:schemeClr>
              </a:solidFill>
              <a:ln w="19050">
                <a:solidFill>
                  <a:schemeClr val="accent4">
                    <a:lumMod val="60000"/>
                    <a:lumOff val="40000"/>
                  </a:schemeClr>
                </a:solidFill>
              </a:ln>
              <a:effectLst/>
            </c:spPr>
            <c:extLst>
              <c:ext xmlns:c16="http://schemas.microsoft.com/office/drawing/2014/chart" uri="{C3380CC4-5D6E-409C-BE32-E72D297353CC}">
                <c16:uniqueId val="{00000007-FD5F-4AB9-92B0-C6BD8A7A1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15</c:v>
                </c:pt>
              </c:numCache>
            </c:numRef>
          </c:val>
          <c:extLst>
            <c:ext xmlns:c16="http://schemas.microsoft.com/office/drawing/2014/chart" uri="{C3380CC4-5D6E-409C-BE32-E72D297353CC}">
              <c16:uniqueId val="{00000004-FD5F-4AB9-92B0-C6BD8A7A189E}"/>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FFEC4DC7-8487-45A0-BFCD-6031C90FC7D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A0712074-3404-4680-9BFF-F111FECA6F0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79BD5FEB-20C3-44D0-A490-791F79C1049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F0E38F94-6148-4CF0-B1E3-AA5545F16BE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0.7338709677419355</c:v>
                </c:pt>
                <c:pt idx="3">
                  <c:v>0.2661290322580645</c:v>
                </c:pt>
              </c:numCache>
            </c:numRef>
          </c:val>
          <c:extLst>
            <c:ext xmlns:c15="http://schemas.microsoft.com/office/drawing/2012/chart" uri="{02D57815-91ED-43cb-92C2-25804820EDAC}">
              <c15:datalabelsRange>
                <c15:f>Working!$E$54:$E$57</c15:f>
                <c15:dlblRangeCache>
                  <c:ptCount val="4"/>
                  <c:pt idx="2">
                    <c:v>Extra Undone, 158</c:v>
                  </c:pt>
                  <c:pt idx="3">
                    <c:v>Undone, 57</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E7961C04-345E-40E7-A371-CA7CA1D13FD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77D6D4D9-1C44-4FAF-BCCF-B452A2DDAA1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6590A396-AA6C-44CA-A510-FC1A0B30596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E3EADA88-D8BD-4870-9A89-0DB0C51C968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0.73387096774193539</c:v>
                </c:pt>
                <c:pt idx="3">
                  <c:v>0.26612903225806461</c:v>
                </c:pt>
              </c:numCache>
            </c:numRef>
          </c:val>
          <c:extLst>
            <c:ext xmlns:c15="http://schemas.microsoft.com/office/drawing/2012/chart" uri="{02D57815-91ED-43cb-92C2-25804820EDAC}">
              <c15:datalabelsRange>
                <c15:f>Working!$E$61:$E$64</c15:f>
                <c15:dlblRangeCache>
                  <c:ptCount val="4"/>
                  <c:pt idx="2">
                    <c:v>Extra Undone, 231</c:v>
                  </c:pt>
                  <c:pt idx="3">
                    <c:v>Undone, 83</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D5178BE8-CA13-4281-B22E-F22A7F6FE57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0A6E75D6-4CBE-4C28-AFF8-1A9D724127F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31A96EAE-2C83-4363-A657-9ED028B0EDA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C746C10D-0B38-41B7-94C2-1944CADBA31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0.73387096774193539</c:v>
                </c:pt>
                <c:pt idx="3">
                  <c:v>0.26612903225806467</c:v>
                </c:pt>
              </c:numCache>
            </c:numRef>
          </c:val>
          <c:extLst>
            <c:ext xmlns:c15="http://schemas.microsoft.com/office/drawing/2012/chart" uri="{02D57815-91ED-43cb-92C2-25804820EDAC}">
              <c15:datalabelsRange>
                <c15:f>Working!$E$68:$E$71</c15:f>
                <c15:dlblRangeCache>
                  <c:ptCount val="4"/>
                  <c:pt idx="2">
                    <c:v>Extra Undone, 389</c:v>
                  </c:pt>
                  <c:pt idx="3">
                    <c:v>Undone, 141</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0B48799D-766B-48A5-8AE5-EB3EEB4D340C}"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5947C926-6BA7-4B51-B18A-E5D03AF72A73}"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FD79ED30-F45D-4F12-8E12-A707CD260686}"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DE23CC9B-1587-469D-9A97-D8B373750086}"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0.73387096774193539</c:v>
                </c:pt>
                <c:pt idx="3">
                  <c:v>0.26612903225806461</c:v>
                </c:pt>
              </c:numCache>
            </c:numRef>
          </c:val>
          <c:extLst>
            <c:ext xmlns:c15="http://schemas.microsoft.com/office/drawing/2012/chart" uri="{02D57815-91ED-43cb-92C2-25804820EDAC}">
              <c15:datalabelsRange>
                <c15:f>Working!$E$47:$E$50</c15:f>
                <c15:dlblRangeCache>
                  <c:ptCount val="4"/>
                  <c:pt idx="2">
                    <c:v>Extra Undone, 46</c:v>
                  </c:pt>
                  <c:pt idx="3">
                    <c:v>Undone, 17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9507C802-776A-47AE-96A4-D55D85428F3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7BEBBCD9-A241-4728-A4A1-709E666EA4A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49C4FA84-A3EC-45F8-BF71-EE0539FB9BB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8AC803A4-4E72-4378-BD41-3A5B59CD69E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0.7338709677419355</c:v>
                </c:pt>
                <c:pt idx="3">
                  <c:v>0.2661290322580645</c:v>
                </c:pt>
              </c:numCache>
            </c:numRef>
          </c:val>
          <c:extLst>
            <c:ext xmlns:c15="http://schemas.microsoft.com/office/drawing/2012/chart" uri="{02D57815-91ED-43cb-92C2-25804820EDAC}">
              <c15:datalabelsRange>
                <c15:f>Working!$E$54:$E$57</c15:f>
                <c15:dlblRangeCache>
                  <c:ptCount val="4"/>
                  <c:pt idx="2">
                    <c:v>Extra Undone, 158</c:v>
                  </c:pt>
                  <c:pt idx="3">
                    <c:v>Undone, 57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0BB29C9F-8097-4FA5-89A8-4A81CFFAC54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9FE7031A-C8A5-44C3-80AE-F6873F94000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3A5A4FD0-F809-4CC3-9A75-AABEE2C899E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E2B825A7-5C3E-4C22-B92D-890E1BDAC6A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0.73387096774193539</c:v>
                </c:pt>
                <c:pt idx="3">
                  <c:v>0.26612903225806461</c:v>
                </c:pt>
              </c:numCache>
            </c:numRef>
          </c:val>
          <c:extLst>
            <c:ext xmlns:c15="http://schemas.microsoft.com/office/drawing/2012/chart" uri="{02D57815-91ED-43cb-92C2-25804820EDAC}">
              <c15:datalabelsRange>
                <c15:f>Working!$E$61:$E$64</c15:f>
                <c15:dlblRangeCache>
                  <c:ptCount val="4"/>
                  <c:pt idx="2">
                    <c:v>Extra Undone, 231</c:v>
                  </c:pt>
                  <c:pt idx="3">
                    <c:v>Undone, 83</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5261AFEC-F172-48EC-B1B6-31C1FFD842D0}"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10E0254A-D25D-42BA-BEFF-B7BB9AD5735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A97DD2C0-E9EE-404C-8C6A-C72447E1CB9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656-4F67-B7A1-F8A1F7DE107E}"/>
                </c:ext>
              </c:extLst>
            </c:dLbl>
            <c:dLbl>
              <c:idx val="3"/>
              <c:tx>
                <c:rich>
                  <a:bodyPr/>
                  <a:lstStyle/>
                  <a:p>
                    <a:fld id="{D0E0D2D4-DBCB-4EDA-A2B5-BFE9B4202DA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0.73387096774193539</c:v>
                </c:pt>
                <c:pt idx="3">
                  <c:v>0.26612903225806467</c:v>
                </c:pt>
              </c:numCache>
            </c:numRef>
          </c:val>
          <c:extLst>
            <c:ext xmlns:c15="http://schemas.microsoft.com/office/drawing/2012/chart" uri="{02D57815-91ED-43cb-92C2-25804820EDAC}">
              <c15:datalabelsRange>
                <c15:f>Working!$E$68:$E$71</c15:f>
                <c15:dlblRangeCache>
                  <c:ptCount val="4"/>
                  <c:pt idx="2">
                    <c:v>Extra Undone, 389</c:v>
                  </c:pt>
                  <c:pt idx="3">
                    <c:v>Undone, 141</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Progress'!$B$33:$B$36</c:f>
              <c:numCache>
                <c:formatCode>0.0;\-0.0;;@</c:formatCode>
                <c:ptCount val="4"/>
                <c:pt idx="0">
                  <c:v>2.5</c:v>
                </c:pt>
                <c:pt idx="1">
                  <c:v>2.5</c:v>
                </c:pt>
                <c:pt idx="2">
                  <c:v>2.5</c:v>
                </c:pt>
                <c:pt idx="3">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tx>
                <c:rich>
                  <a:bodyPr/>
                  <a:lstStyle/>
                  <a:p>
                    <a:fld id="{AC8BFE52-A46F-4AD3-93BE-D78613C66533}"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077-4FB0-9F37-13FB91287652}"/>
                </c:ext>
              </c:extLst>
            </c:dLbl>
            <c:dLbl>
              <c:idx val="1"/>
              <c:layout>
                <c:manualLayout>
                  <c:x val="3.1129570723994358E-3"/>
                  <c:y val="-5.6553979515063739E-2"/>
                </c:manualLayout>
              </c:layout>
              <c:tx>
                <c:rich>
                  <a:bodyPr/>
                  <a:lstStyle/>
                  <a:p>
                    <a:fld id="{D20C7315-810A-4E78-A4AF-592BEC203B10}"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77-4FB0-9F37-13FB91287652}"/>
                </c:ext>
              </c:extLst>
            </c:dLbl>
            <c:dLbl>
              <c:idx val="2"/>
              <c:layout>
                <c:manualLayout>
                  <c:x val="1.5809351132704708E-3"/>
                  <c:y val="-5.2607354904036455E-3"/>
                </c:manualLayout>
              </c:layout>
              <c:tx>
                <c:rich>
                  <a:bodyPr/>
                  <a:lstStyle/>
                  <a:p>
                    <a:fld id="{4232B050-DA02-4646-87BA-8F144A722B6E}"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2.4946372591635856E-2"/>
                  <c:y val="5.3191881069636855E-2"/>
                </c:manualLayout>
              </c:layout>
              <c:tx>
                <c:rich>
                  <a:bodyPr/>
                  <a:lstStyle/>
                  <a:p>
                    <a:fld id="{DCEDE379-9C55-418E-A3FD-2EDF90598F8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Progress'!$K$33:$K$36</c:f>
              <c:numCache>
                <c:formatCode>0.0;\-0.0;;@</c:formatCode>
                <c:ptCount val="4"/>
                <c:pt idx="0">
                  <c:v>2.5897435897435894</c:v>
                </c:pt>
                <c:pt idx="1">
                  <c:v>2.3589743589743586</c:v>
                </c:pt>
                <c:pt idx="2">
                  <c:v>2.5750000000000002</c:v>
                </c:pt>
                <c:pt idx="3">
                  <c:v>2.375</c:v>
                </c:pt>
              </c:numCache>
            </c:numRef>
          </c:val>
          <c:smooth val="0"/>
          <c:extLst>
            <c:ext xmlns:c15="http://schemas.microsoft.com/office/drawing/2012/chart" uri="{02D57815-91ED-43cb-92C2-25804820EDAC}">
              <c15:datalabelsRange>
                <c15:f>'📊 Progress'!$C$33:$C$36</c15:f>
                <c15:dlblRangeCache>
                  <c:ptCount val="4"/>
                  <c:pt idx="0">
                    <c:v>Foundation of Risk Mgmt</c:v>
                  </c:pt>
                  <c:pt idx="1">
                    <c:v>Quantitative Analysis</c:v>
                  </c:pt>
                  <c:pt idx="2">
                    <c:v>Financial Mkts &amp; Products</c:v>
                  </c:pt>
                  <c:pt idx="3">
                    <c:v>Valuation &amp; Risk Models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EF2D4702-F597-47EE-9D80-6549B2EC01A5}"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0.70779220779220786</c:v>
                </c:pt>
              </c:numCache>
            </c:numRef>
          </c:val>
          <c:extLst>
            <c:ext xmlns:c15="http://schemas.microsoft.com/office/drawing/2012/chart" uri="{02D57815-91ED-43cb-92C2-25804820EDAC}">
              <c15:datalabelsRange>
                <c15:f>Working!$J$4</c15:f>
                <c15:dlblRangeCache>
                  <c:ptCount val="1"/>
                  <c:pt idx="0">
                    <c:v>546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4CFCB002-CE20-47F8-B0AC-57EC3C76CCF2}"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0.25714285714285712</c:v>
                </c:pt>
              </c:numCache>
            </c:numRef>
          </c:val>
          <c:extLst>
            <c:ext xmlns:c15="http://schemas.microsoft.com/office/drawing/2012/chart" uri="{02D57815-91ED-43cb-92C2-25804820EDAC}">
              <c15:datalabelsRange>
                <c15:f>Working!$J$5</c15:f>
                <c15:dlblRangeCache>
                  <c:ptCount val="1"/>
                  <c:pt idx="0">
                    <c:v>198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6.4935064935065512E-3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8BF88B5A-8A13-49A3-AE1E-D5F695EB0222}"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2.7272727272727226E-2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12A641B2-BB97-4BCF-87BB-A9928205C9CD}"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1.2987012987012987E-3</c:v>
                </c:pt>
              </c:numCache>
            </c:numRef>
          </c:val>
          <c:extLst>
            <c:ext xmlns:c15="http://schemas.microsoft.com/office/drawing/2012/chart" uri="{02D57815-91ED-43cb-92C2-25804820EDAC}">
              <c15:datalabelsRange>
                <c15:f>Working!$K$3</c15:f>
                <c15:dlblRangeCache>
                  <c:ptCount val="1"/>
                  <c:pt idx="0">
                    <c:v>Start 
11-Oct-22</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B4DA2AF3-31CC-4F48-A9EF-545246C40061}"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0.70909090909090911</c:v>
                </c:pt>
              </c:numCache>
            </c:numRef>
          </c:val>
          <c:extLst>
            <c:ext xmlns:c15="http://schemas.microsoft.com/office/drawing/2012/chart" uri="{02D57815-91ED-43cb-92C2-25804820EDAC}">
              <c15:datalabelsRange>
                <c15:f>Working!$K$4</c15:f>
                <c15:dlblRangeCache>
                  <c:ptCount val="1"/>
                  <c:pt idx="0">
                    <c:v>Today 09-Apr-24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0.96623376623376622</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0.97272727272727277</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19-Nov-24</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05F73D8E-4122-4A29-B9E1-6979FBD451B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70195509-2941-4E02-B5F9-3D744DEA1788}"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CDE591CD-5043-4CF2-91E3-4C59E8B13B83}"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14B6C30E-348E-47C7-94F2-E08578E10D7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0.73387096774193539</c:v>
                </c:pt>
                <c:pt idx="3">
                  <c:v>0.26612903225806461</c:v>
                </c:pt>
              </c:numCache>
            </c:numRef>
          </c:val>
          <c:extLst>
            <c:ext xmlns:c15="http://schemas.microsoft.com/office/drawing/2012/chart" uri="{02D57815-91ED-43cb-92C2-25804820EDAC}">
              <c15:datalabelsRange>
                <c15:f>Working!$E$47:$E$50</c15:f>
                <c15:dlblRangeCache>
                  <c:ptCount val="4"/>
                  <c:pt idx="2">
                    <c:v>Extra Undone, 46</c:v>
                  </c:pt>
                  <c:pt idx="3">
                    <c:v>Undone, 17</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[FRM Part 1 Performance Tracker '24.xlsx]Working!PivotTable1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bg1">
              <a:lumMod val="95000"/>
            </a:schemeClr>
          </a:solidFill>
          <a:ln w="19050">
            <a:solidFill>
              <a:schemeClr val="bg1">
                <a:lumMod val="5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solidFill>
              <a:schemeClr val="bg1">
                <a:lumMod val="95000"/>
              </a:schemeClr>
            </a:solidFill>
            <a:ln>
              <a:solidFill>
                <a:schemeClr val="bg1">
                  <a:lumMod val="50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bg1">
                  <a:lumMod val="95000"/>
                </a:schemeClr>
              </a:solidFill>
              <a:ln w="19050">
                <a:solidFill>
                  <a:schemeClr val="bg1">
                    <a:lumMod val="50000"/>
                  </a:schemeClr>
                </a:solid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15</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[FRM Part 1 Performance Tracker '24.xlsx]Working!PivotTable2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4"/>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60000"/>
              <a:lumOff val="40000"/>
            </a:schemeClr>
          </a:solidFill>
          <a:ln w="19050">
            <a:solidFill>
              <a:schemeClr val="accent6">
                <a:lumMod val="60000"/>
                <a:lumOff val="40000"/>
              </a:schemeClr>
            </a:solidFill>
          </a:ln>
          <a:effectLst/>
        </c:spPr>
      </c:pivotFmt>
      <c:pivotFmt>
        <c:idx val="10"/>
        <c:spPr>
          <a:solidFill>
            <a:schemeClr val="accent6">
              <a:lumMod val="20000"/>
              <a:lumOff val="8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6-4FCC-4531-9861-D22E680384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15</c:v>
                </c:pt>
              </c:numCache>
            </c:numRef>
          </c:val>
          <c:extLst>
            <c:ext xmlns:c16="http://schemas.microsoft.com/office/drawing/2014/chart" uri="{C3380CC4-5D6E-409C-BE32-E72D297353CC}">
              <c16:uniqueId val="{00000004-4FCC-4531-9861-D22E6803845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[FRM Part 1 Performance Tracker '24.xlsx]Working!PivotTable3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3"/>
          </a:solidFill>
          <a:ln w="19050">
            <a:noFill/>
          </a:ln>
          <a:effectLst/>
        </c:spPr>
      </c:pivotFmt>
      <c:pivotFmt>
        <c:idx val="9"/>
        <c:spPr>
          <a:solidFill>
            <a:schemeClr val="accent3"/>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2">
              <a:lumMod val="75000"/>
            </a:schemeClr>
          </a:solidFill>
          <a:ln w="19050">
            <a:solidFill>
              <a:schemeClr val="accent2">
                <a:lumMod val="75000"/>
              </a:schemeClr>
            </a:solidFill>
          </a:ln>
          <a:effectLst/>
        </c:spPr>
      </c:pivotFmt>
      <c:pivotFmt>
        <c:idx val="11"/>
        <c:spPr>
          <a:solidFill>
            <a:schemeClr val="accent2">
              <a:lumMod val="40000"/>
              <a:lumOff val="60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6-9192-4E86-93FF-58A8255D799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15</c:v>
                </c:pt>
              </c:numCache>
            </c:numRef>
          </c:val>
          <c:extLst>
            <c:ext xmlns:c16="http://schemas.microsoft.com/office/drawing/2014/chart" uri="{C3380CC4-5D6E-409C-BE32-E72D297353CC}">
              <c16:uniqueId val="{00000004-9192-4E86-93FF-58A8255D799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3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+91 98317 79737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14</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33130</xdr:rowOff>
    </xdr:from>
    <xdr:to>
      <xdr:col>5</xdr:col>
      <xdr:colOff>19050</xdr:colOff>
      <xdr:row>46</xdr:row>
      <xdr:rowOff>157132</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iddhi Mukim" refreshedDate="45391.499116550927" createdVersion="7" refreshedVersion="8" minRefreshableVersion="3" recordCount="57" xr:uid="{FC0E6DB8-2D29-449C-9177-1A77E9689797}">
  <cacheSource type="worksheet">
    <worksheetSource name="Master_Data"/>
  </cacheSource>
  <cacheFields count="35">
    <cacheField name="Order of Study" numFmtId="3">
      <sharedItems containsSemiMixedTypes="0" containsString="0" containsNumber="1" containsInteger="1" minValue="1" maxValue="57"/>
    </cacheField>
    <cacheField name="Schedule" numFmtId="3">
      <sharedItems/>
    </cacheField>
    <cacheField name="Column1" numFmtId="3">
      <sharedItems containsSemiMixedTypes="0" containsString="0" containsNumber="1" containsInteger="1" minValue="4" maxValue="29"/>
    </cacheField>
    <cacheField name="Column2" numFmtId="3">
      <sharedItems containsMixedTypes="1" containsNumber="1" containsInteger="1" minValue="5" maxValue="29"/>
    </cacheField>
    <cacheField name="Cum. Undone hrs" numFmtId="169">
      <sharedItems containsSemiMixedTypes="0" containsNonDate="0" containsDate="1" containsString="0" minDate="1899-12-30T22:57:00" maxDate="1900-01-07T23:58:00"/>
    </cacheField>
    <cacheField name="Undone hrs" numFmtId="165">
      <sharedItems containsSemiMixedTypes="0" containsNonDate="0" containsDate="1" containsString="0" minDate="1899-12-30T00:27:00" maxDate="1899-12-30T22:57:00"/>
    </cacheField>
    <cacheField name="Subject" numFmtId="0">
      <sharedItems count="17">
        <s v="Quantitative Analysis"/>
        <s v="Foundation of Risk Mgmt"/>
        <s v="Financial Mkts &amp; Products"/>
        <s v="Valuation &amp; Risk Models"/>
        <s v="Basics" u="1"/>
        <s v="Portfolio" u="1"/>
        <s v="FRA" u="1"/>
        <s v="Quants" u="1"/>
        <s v="Derivatives" u="1"/>
        <s v="Equity" u="1"/>
        <s v="Fixed Income" u="1"/>
        <s v="Corp. Issuers" u="1"/>
        <s v="Alt. Invest." u="1"/>
        <s v="Alt. Investments" u="1"/>
        <s v="Corporate Issuers" u="1"/>
        <s v="Economics" u="1"/>
        <s v="Ethics" u="1"/>
      </sharedItems>
    </cacheField>
    <cacheField name="Reading" numFmtId="0">
      <sharedItems containsMixedTypes="1" containsNumber="1" containsInteger="1" minValue="1" maxValue="62"/>
    </cacheField>
    <cacheField name="Changes" numFmtId="0">
      <sharedItems/>
    </cacheField>
    <cacheField name="Topic" numFmtId="0">
      <sharedItems/>
    </cacheField>
    <cacheField name="No. of Chapters" numFmtId="0">
      <sharedItems containsSemiMixedTypes="0" containsString="0" containsNumber="1" containsInteger="1" minValue="1" maxValue="5"/>
    </cacheField>
    <cacheField name="No. of LOS" numFmtId="0">
      <sharedItems containsSemiMixedTypes="0" containsString="0" containsNumber="1" containsInteger="1" minValue="2" maxValue="37"/>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2" maxValue="5"/>
    </cacheField>
    <cacheField name="Confusing" numFmtId="0">
      <sharedItems containsSemiMixedTypes="0" containsString="0" containsNumber="1" containsInteger="1" minValue="2" maxValue="5"/>
    </cacheField>
    <cacheField name="Imp. Level" numFmtId="0">
      <sharedItems containsSemiMixedTypes="0" containsString="0" containsNumber="1" containsInteger="1" minValue="2" maxValue="5"/>
    </cacheField>
    <cacheField name="Reqd. Prac." numFmtId="0">
      <sharedItems containsSemiMixedTypes="0" containsString="0" containsNumber="1" containsInteger="1" minValue="3" maxValue="5"/>
    </cacheField>
    <cacheField name="Duration (hh:mm)" numFmtId="169">
      <sharedItems containsSemiMixedTypes="0" containsNonDate="0" containsDate="1" containsString="0" minDate="1899-12-30T00:27:00" maxDate="1899-12-30T22:57:00" count="46">
        <d v="1899-12-30T22:57:00"/>
        <d v="1899-12-30T07:29:00"/>
        <d v="1899-12-30T01:47:00"/>
        <d v="1899-12-30T02:28:00"/>
        <d v="1899-12-30T02:21:00"/>
        <d v="1899-12-30T01:41:00"/>
        <d v="1899-12-30T02:05:00"/>
        <d v="1899-12-30T02:26:00"/>
        <d v="1899-12-30T09:31:00"/>
        <d v="1899-12-30T01:57:00"/>
        <d v="1899-12-30T04:53:00"/>
        <d v="1899-12-30T02:20:00"/>
        <d v="1899-12-30T01:48:00"/>
        <d v="1899-12-30T00:52:00"/>
        <d v="1899-12-30T19:29:00"/>
        <d v="1899-12-30T02:32:00"/>
        <d v="1899-12-30T00:27:00"/>
        <d v="1899-12-30T03:01:00"/>
        <d v="1899-12-30T04:02:00"/>
        <d v="1899-12-30T03:55:00"/>
        <d v="1899-12-30T02:06:00"/>
        <d v="1899-12-30T02:50:00"/>
        <d v="1899-12-30T01:28:00"/>
        <d v="1899-12-30T03:28:00"/>
        <d v="1899-12-30T03:46:00"/>
        <d v="1899-12-30T03:09:00"/>
        <d v="1899-12-30T03:44:00"/>
        <d v="1899-12-30T02:19:00"/>
        <d v="1899-12-30T00:55:00"/>
        <d v="1899-12-30T01:15:00"/>
        <d v="1899-12-30T01:43:00"/>
        <d v="1899-12-30T03:10:00"/>
        <d v="1899-12-30T11:29:00"/>
        <d v="1899-12-30T09:24:00"/>
        <d v="1899-12-30T01:49:00"/>
        <d v="1899-12-30T02:59:00"/>
        <d v="1899-12-30T04:58:00"/>
        <d v="1899-12-30T03:24:00"/>
        <d v="1899-12-30T05:16:00"/>
        <d v="1899-12-30T04:46:00"/>
        <d v="1899-12-30T02:12:00"/>
        <d v="1899-12-30T01:32:00"/>
        <d v="1899-12-30T02:54:00"/>
        <d v="1899-12-30T03:47:00"/>
        <d v="1899-12-30T02:04:00"/>
        <d v="1899-12-30T03:11:00"/>
      </sharedItems>
      <fieldGroup par="34" base="18">
        <rangePr groupBy="seconds" startDate="1899-12-30T00:27:00" endDate="1899-12-30T22:57: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10.626639913566912" maxValue="100"/>
    </cacheField>
    <cacheField name="Lectures" numFmtId="17">
      <sharedItems count="2">
        <s v="U"/>
        <s v="D" u="1"/>
      </sharedItems>
    </cacheField>
    <cacheField name="Self Study" numFmtId="17">
      <sharedItems count="2">
        <s v="U"/>
        <s v="D" u="1"/>
      </sharedItems>
    </cacheField>
    <cacheField name="Revision" numFmtId="17">
      <sharedItems count="2">
        <s v="U"/>
        <s v="D" u="1"/>
      </sharedItems>
    </cacheField>
    <cacheField name="Prac. Book" numFmtId="17">
      <sharedItems/>
    </cacheField>
    <cacheField name="GARP 10 Yr Papers" numFmtId="17">
      <sharedItems/>
    </cacheField>
    <cacheField name="GARP EOC Ques." numFmtId="17">
      <sharedItems/>
    </cacheField>
    <cacheField name="Confidence Level" numFmtId="0">
      <sharedItems containsSemiMixedTypes="0" containsString="0" containsNumber="1" containsInteger="1" minValue="2" maxValue="5"/>
    </cacheField>
    <cacheField name="Notes to Yourself" numFmtId="17">
      <sharedItems containsNonDate="0" containsString="0" containsBlank="1"/>
    </cacheField>
    <cacheField name="Total weights" numFmtId="9">
      <sharedItems containsSemiMixedTypes="0" containsString="0" containsNumber="1" minValue="9.0090090090090089E-3" maxValue="2.2522522522522521E-2"/>
    </cacheField>
    <cacheField name="Subjectwise weights" numFmtId="9">
      <sharedItems containsSemiMixedTypes="0" containsString="0" containsNumber="1" minValue="3.125E-2" maxValue="0.12820512820512819"/>
    </cacheField>
    <cacheField name="Subjectwise weighted average" numFmtId="4">
      <sharedItems containsSemiMixedTypes="0" containsString="0" containsNumber="1" minValue="6.25E-2" maxValue="0.30769230769230771"/>
    </cacheField>
    <cacheField name="Practice" numFmtId="0">
      <sharedItems count="3">
        <s v="U"/>
        <s v="D" u="1"/>
        <e v="#REF!" u="1"/>
      </sharedItems>
    </cacheField>
    <cacheField name="Extra Practice" numFmtId="17">
      <sharedItems count="3">
        <s v="U"/>
        <s v="D" u="1"/>
        <e v="#REF!" u="1"/>
      </sharedItems>
    </cacheField>
    <cacheField name="Minutes" numFmtId="0" databaseField="0">
      <fieldGroup base="18">
        <rangePr groupBy="minutes" startDate="1899-12-30T00:27:00" endDate="1899-12-30T22:57: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27:00" endDate="1899-12-30T22:57: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n v="1"/>
    <s v="Current Week"/>
    <n v="4"/>
    <e v="#VALUE!"/>
    <d v="1899-12-30T22:57:00"/>
    <d v="1899-12-30T22:57:00"/>
    <x v="0"/>
    <s v="12 to 16"/>
    <s v="Same"/>
    <s v="Probability and Statistics"/>
    <n v="5"/>
    <n v="37"/>
    <n v="3"/>
    <n v="5"/>
    <n v="4"/>
    <n v="4"/>
    <n v="4"/>
    <n v="4"/>
    <x v="0"/>
    <n v="10.626639913566912"/>
    <x v="0"/>
    <x v="0"/>
    <x v="0"/>
    <s v="U"/>
    <s v="U"/>
    <s v="U"/>
    <n v="2"/>
    <m/>
    <n v="1.8018018018018018E-2"/>
    <n v="0.10256410256410256"/>
    <n v="0.20512820512820512"/>
    <x v="0"/>
    <x v="0"/>
  </r>
  <r>
    <n v="2"/>
    <s v="Week 5"/>
    <n v="5"/>
    <n v="5"/>
    <d v="1899-12-31T06:26:00"/>
    <d v="1899-12-30T07:29:00"/>
    <x v="0"/>
    <n v="17"/>
    <s v="Same"/>
    <s v="Hypothesis Testing"/>
    <n v="1"/>
    <n v="8"/>
    <n v="4"/>
    <n v="5"/>
    <n v="5"/>
    <n v="5"/>
    <n v="4"/>
    <n v="4"/>
    <x v="1"/>
    <n v="14.091680814940583"/>
    <x v="0"/>
    <x v="0"/>
    <x v="0"/>
    <s v="U"/>
    <s v="U"/>
    <s v="U"/>
    <n v="2"/>
    <m/>
    <n v="1.8018018018018018E-2"/>
    <n v="0.10256410256410256"/>
    <n v="0.20512820512820512"/>
    <x v="0"/>
    <x v="0"/>
  </r>
  <r>
    <n v="3"/>
    <s v="Week 5"/>
    <n v="5"/>
    <n v="5"/>
    <d v="1899-12-31T08:13:00"/>
    <d v="1899-12-30T01:47:00"/>
    <x v="1"/>
    <n v="10"/>
    <s v="Same"/>
    <s v="Anatomy of the Great Financial Crisis of 2007-2009"/>
    <n v="1"/>
    <n v="6"/>
    <n v="2"/>
    <n v="1"/>
    <n v="4"/>
    <n v="4"/>
    <n v="4"/>
    <n v="4"/>
    <x v="2"/>
    <n v="14.917425528630968"/>
    <x v="0"/>
    <x v="0"/>
    <x v="0"/>
    <s v="U"/>
    <s v="U"/>
    <s v="U"/>
    <n v="2"/>
    <m/>
    <n v="1.8018018018018018E-2"/>
    <n v="0.10256410256410256"/>
    <n v="0.20512820512820512"/>
    <x v="0"/>
    <x v="0"/>
  </r>
  <r>
    <n v="4"/>
    <s v="Week 5"/>
    <n v="5"/>
    <n v="5"/>
    <d v="1899-12-31T10:41:00"/>
    <d v="1899-12-30T02:28:00"/>
    <x v="1"/>
    <n v="4"/>
    <s v="Same"/>
    <s v="Credit Risk Transfer Mechanisms"/>
    <n v="1"/>
    <n v="4"/>
    <n v="3"/>
    <n v="1"/>
    <n v="4"/>
    <n v="4"/>
    <n v="4"/>
    <n v="4"/>
    <x v="3"/>
    <n v="16.059577095230754"/>
    <x v="0"/>
    <x v="0"/>
    <x v="0"/>
    <s v="U"/>
    <s v="U"/>
    <s v="U"/>
    <n v="2"/>
    <m/>
    <n v="1.8018018018018018E-2"/>
    <n v="0.10256410256410256"/>
    <n v="0.20512820512820512"/>
    <x v="0"/>
    <x v="0"/>
  </r>
  <r>
    <n v="5"/>
    <s v="Week 5"/>
    <n v="5"/>
    <n v="5"/>
    <d v="1899-12-31T13:09:00"/>
    <d v="1899-12-30T02:28:00"/>
    <x v="0"/>
    <n v="18"/>
    <s v="Changes"/>
    <s v="Linear Regression"/>
    <n v="1"/>
    <n v="8"/>
    <n v="3"/>
    <n v="5"/>
    <n v="4"/>
    <n v="4"/>
    <n v="3"/>
    <n v="4"/>
    <x v="3"/>
    <n v="17.20172866183054"/>
    <x v="0"/>
    <x v="0"/>
    <x v="0"/>
    <s v="U"/>
    <s v="U"/>
    <s v="U"/>
    <n v="3"/>
    <m/>
    <n v="1.3513513513513514E-2"/>
    <n v="7.6923076923076927E-2"/>
    <n v="0.23076923076923078"/>
    <x v="0"/>
    <x v="0"/>
  </r>
  <r>
    <n v="6"/>
    <s v="Week 6"/>
    <n v="6"/>
    <n v="6"/>
    <d v="1899-12-31T15:30:00"/>
    <d v="1899-12-30T02:21:00"/>
    <x v="0"/>
    <n v="19"/>
    <s v="Same"/>
    <s v="Regression with Multiple Explanatory Variables"/>
    <n v="1"/>
    <n v="5"/>
    <n v="4"/>
    <n v="4"/>
    <n v="4"/>
    <n v="4"/>
    <n v="4"/>
    <n v="4"/>
    <x v="4"/>
    <n v="18.289859546226278"/>
    <x v="0"/>
    <x v="0"/>
    <x v="0"/>
    <s v="U"/>
    <s v="U"/>
    <s v="U"/>
    <n v="3"/>
    <m/>
    <n v="1.8018018018018018E-2"/>
    <n v="0.10256410256410256"/>
    <n v="0.30769230769230771"/>
    <x v="0"/>
    <x v="0"/>
  </r>
  <r>
    <n v="7"/>
    <s v="Week 6"/>
    <n v="6"/>
    <n v="6"/>
    <d v="1899-12-31T17:11:00"/>
    <d v="1899-12-30T01:41:00"/>
    <x v="0"/>
    <n v="20"/>
    <s v="Same"/>
    <s v="Regression Diagnostics"/>
    <n v="1"/>
    <n v="8"/>
    <n v="3"/>
    <n v="4"/>
    <n v="5"/>
    <n v="5"/>
    <n v="4"/>
    <n v="4"/>
    <x v="5"/>
    <n v="19.069300818027486"/>
    <x v="0"/>
    <x v="0"/>
    <x v="0"/>
    <s v="U"/>
    <s v="U"/>
    <s v="U"/>
    <n v="2"/>
    <m/>
    <n v="1.8018018018018018E-2"/>
    <n v="0.10256410256410256"/>
    <n v="0.20512820512820512"/>
    <x v="0"/>
    <x v="0"/>
  </r>
  <r>
    <n v="8"/>
    <s v="Week 6"/>
    <n v="6"/>
    <n v="6"/>
    <d v="1899-12-31T19:16:00"/>
    <d v="1899-12-30T02:05:00"/>
    <x v="2"/>
    <n v="27"/>
    <s v="Same"/>
    <s v="Banks"/>
    <n v="1"/>
    <n v="8"/>
    <n v="2"/>
    <n v="1"/>
    <n v="3"/>
    <n v="3"/>
    <n v="3"/>
    <n v="4"/>
    <x v="6"/>
    <n v="20.033955857385411"/>
    <x v="0"/>
    <x v="0"/>
    <x v="0"/>
    <s v="U"/>
    <s v="U"/>
    <s v="U"/>
    <n v="2"/>
    <m/>
    <n v="1.3513513513513514E-2"/>
    <n v="3.7499999999999999E-2"/>
    <n v="7.4999999999999997E-2"/>
    <x v="0"/>
    <x v="0"/>
  </r>
  <r>
    <n v="9"/>
    <s v="Week 7"/>
    <n v="7"/>
    <n v="7"/>
    <d v="1899-12-31T21:42:00"/>
    <d v="1899-12-30T02:26:00"/>
    <x v="2"/>
    <n v="28"/>
    <s v="Same"/>
    <s v="Insurance Companies and Pension Plans"/>
    <n v="1"/>
    <n v="9"/>
    <n v="3"/>
    <n v="2"/>
    <n v="3"/>
    <n v="4"/>
    <n v="3"/>
    <n v="4"/>
    <x v="7"/>
    <n v="21.160672943355468"/>
    <x v="0"/>
    <x v="0"/>
    <x v="0"/>
    <s v="U"/>
    <s v="U"/>
    <s v="U"/>
    <n v="3"/>
    <m/>
    <n v="1.3513513513513514E-2"/>
    <n v="3.7499999999999999E-2"/>
    <n v="0.11249999999999999"/>
    <x v="0"/>
    <x v="0"/>
  </r>
  <r>
    <n v="10"/>
    <s v="Week 8"/>
    <n v="8"/>
    <n v="8"/>
    <d v="1900-01-01T07:13:00"/>
    <d v="1899-12-30T09:31:00"/>
    <x v="1"/>
    <n v="5"/>
    <s v="Same"/>
    <s v="Modern Portfolio Theory and the Capital Asset Pricing Model"/>
    <n v="1"/>
    <n v="7"/>
    <n v="4"/>
    <n v="4"/>
    <n v="4"/>
    <n v="4"/>
    <n v="5"/>
    <n v="4"/>
    <x v="8"/>
    <n v="25.567217163142473"/>
    <x v="0"/>
    <x v="0"/>
    <x v="0"/>
    <s v="U"/>
    <s v="U"/>
    <s v="U"/>
    <n v="2"/>
    <m/>
    <n v="2.2522522522522521E-2"/>
    <n v="0.12820512820512819"/>
    <n v="0.25641025641025639"/>
    <x v="0"/>
    <x v="0"/>
  </r>
  <r>
    <n v="11"/>
    <s v="Week 8"/>
    <n v="8"/>
    <n v="8"/>
    <d v="1900-01-01T09:10:00"/>
    <d v="1899-12-30T01:57:00"/>
    <x v="1"/>
    <n v="6"/>
    <s v="Same"/>
    <s v="The Arbitrage Pricing Theory and Multifactor Models of Risk and Return"/>
    <n v="1"/>
    <n v="5"/>
    <n v="3"/>
    <n v="4"/>
    <n v="4"/>
    <n v="5"/>
    <n v="4"/>
    <n v="4"/>
    <x v="9"/>
    <n v="26.47013427998149"/>
    <x v="0"/>
    <x v="0"/>
    <x v="0"/>
    <s v="U"/>
    <s v="U"/>
    <s v="U"/>
    <n v="3"/>
    <m/>
    <n v="1.8018018018018018E-2"/>
    <n v="0.10256410256410256"/>
    <n v="0.30769230769230771"/>
    <x v="0"/>
    <x v="0"/>
  </r>
  <r>
    <n v="12"/>
    <s v="Week 9"/>
    <n v="9"/>
    <n v="9"/>
    <d v="1900-01-01T14:03:00"/>
    <d v="1899-12-30T04:53:00"/>
    <x v="2"/>
    <n v="29"/>
    <s v="Same"/>
    <s v="Fund Management"/>
    <n v="1"/>
    <n v="7"/>
    <n v="3"/>
    <n v="2"/>
    <n v="3"/>
    <n v="4"/>
    <n v="3"/>
    <n v="4"/>
    <x v="10"/>
    <n v="28.731285692236462"/>
    <x v="0"/>
    <x v="0"/>
    <x v="0"/>
    <s v="U"/>
    <s v="U"/>
    <s v="U"/>
    <n v="3"/>
    <m/>
    <n v="1.3513513513513514E-2"/>
    <n v="3.7499999999999999E-2"/>
    <n v="0.11249999999999999"/>
    <x v="0"/>
    <x v="0"/>
  </r>
  <r>
    <n v="13"/>
    <s v="Week 9"/>
    <n v="9"/>
    <n v="9"/>
    <d v="1900-01-01T16:23:00"/>
    <d v="1899-12-30T02:20:00"/>
    <x v="0"/>
    <n v="21"/>
    <s v="Same"/>
    <s v="Stationary Time Series"/>
    <n v="1"/>
    <n v="14"/>
    <n v="3"/>
    <n v="3"/>
    <n v="5"/>
    <n v="5"/>
    <n v="4"/>
    <n v="4"/>
    <x v="11"/>
    <n v="29.811699336317343"/>
    <x v="0"/>
    <x v="0"/>
    <x v="0"/>
    <s v="U"/>
    <s v="U"/>
    <s v="U"/>
    <n v="3"/>
    <m/>
    <n v="1.8018018018018018E-2"/>
    <n v="0.10256410256410256"/>
    <n v="0.30769230769230771"/>
    <x v="0"/>
    <x v="0"/>
  </r>
  <r>
    <n v="14"/>
    <s v="Week 9"/>
    <n v="9"/>
    <n v="9"/>
    <d v="1900-01-01T18:11:00"/>
    <d v="1899-12-30T01:48:00"/>
    <x v="0"/>
    <n v="22"/>
    <s v="Same"/>
    <s v="Non-Stationary Time Series"/>
    <n v="1"/>
    <n v="7"/>
    <n v="3"/>
    <n v="4"/>
    <n v="5"/>
    <n v="5"/>
    <n v="4"/>
    <n v="4"/>
    <x v="12"/>
    <n v="30.645161290322591"/>
    <x v="0"/>
    <x v="0"/>
    <x v="0"/>
    <s v="U"/>
    <s v="U"/>
    <s v="U"/>
    <n v="2"/>
    <m/>
    <n v="1.8018018018018018E-2"/>
    <n v="0.10256410256410256"/>
    <n v="0.20512820512820512"/>
    <x v="0"/>
    <x v="0"/>
  </r>
  <r>
    <n v="15"/>
    <s v="Week 10"/>
    <n v="10"/>
    <n v="10"/>
    <d v="1900-01-01T20:37:00"/>
    <d v="1899-12-30T02:26:00"/>
    <x v="0"/>
    <n v="23"/>
    <s v="Same"/>
    <s v="Measuring Returns, Volatility, and Correlation"/>
    <n v="1"/>
    <n v="8"/>
    <n v="3"/>
    <n v="4"/>
    <n v="4"/>
    <n v="4"/>
    <n v="3"/>
    <n v="4"/>
    <x v="7"/>
    <n v="31.771878376292651"/>
    <x v="0"/>
    <x v="0"/>
    <x v="0"/>
    <s v="U"/>
    <s v="U"/>
    <s v="U"/>
    <n v="3"/>
    <m/>
    <n v="1.3513513513513514E-2"/>
    <n v="7.6923076923076927E-2"/>
    <n v="0.23076923076923078"/>
    <x v="0"/>
    <x v="0"/>
  </r>
  <r>
    <n v="16"/>
    <s v="Week 10"/>
    <n v="10"/>
    <n v="10"/>
    <d v="1900-01-01T21:29:00"/>
    <d v="1899-12-30T00:52:00"/>
    <x v="2"/>
    <n v="35"/>
    <s v="Same"/>
    <s v="Foreign Exchange Markets"/>
    <n v="1"/>
    <n v="12"/>
    <n v="3"/>
    <n v="3"/>
    <n v="4"/>
    <n v="5"/>
    <n v="4"/>
    <n v="4"/>
    <x v="13"/>
    <n v="32.173174872665541"/>
    <x v="0"/>
    <x v="0"/>
    <x v="0"/>
    <s v="U"/>
    <s v="U"/>
    <s v="U"/>
    <n v="2"/>
    <m/>
    <n v="1.8018018018018018E-2"/>
    <n v="0.05"/>
    <n v="0.1"/>
    <x v="0"/>
    <x v="0"/>
  </r>
  <r>
    <n v="17"/>
    <s v="Week 12"/>
    <n v="12"/>
    <n v="11"/>
    <d v="1900-01-02T16:58:00"/>
    <d v="1899-12-30T19:29:00"/>
    <x v="2"/>
    <n v="30"/>
    <s v="Same"/>
    <s v="Introduction to Derivatives"/>
    <n v="1"/>
    <n v="9"/>
    <n v="1"/>
    <n v="2"/>
    <n v="2"/>
    <n v="2"/>
    <n v="3"/>
    <n v="4"/>
    <x v="14"/>
    <n v="41.194628800740865"/>
    <x v="0"/>
    <x v="0"/>
    <x v="0"/>
    <s v="U"/>
    <s v="U"/>
    <s v="U"/>
    <n v="2"/>
    <m/>
    <n v="1.3513513513513514E-2"/>
    <n v="3.7499999999999999E-2"/>
    <n v="7.4999999999999997E-2"/>
    <x v="0"/>
    <x v="0"/>
  </r>
  <r>
    <n v="18"/>
    <s v="Week 13"/>
    <n v="13"/>
    <n v="13"/>
    <d v="1900-01-02T19:30:00"/>
    <d v="1899-12-30T02:32:00"/>
    <x v="2"/>
    <n v="38"/>
    <s v="Changes"/>
    <s v="Options Markets"/>
    <n v="1"/>
    <n v="5"/>
    <n v="4"/>
    <n v="5"/>
    <n v="4"/>
    <n v="5"/>
    <n v="5"/>
    <n v="4"/>
    <x v="15"/>
    <n v="42.367649328600102"/>
    <x v="0"/>
    <x v="0"/>
    <x v="0"/>
    <s v="U"/>
    <s v="U"/>
    <s v="U"/>
    <n v="2"/>
    <m/>
    <n v="2.2522522522522521E-2"/>
    <n v="6.25E-2"/>
    <n v="0.125"/>
    <x v="0"/>
    <x v="0"/>
  </r>
  <r>
    <n v="19"/>
    <s v="Week 13"/>
    <n v="13"/>
    <n v="13"/>
    <d v="1900-01-02T19:57:00"/>
    <d v="1899-12-30T00:27:00"/>
    <x v="2"/>
    <n v="39"/>
    <s v="Same"/>
    <s v="Properties of Options"/>
    <n v="1"/>
    <n v="4"/>
    <n v="4"/>
    <n v="5"/>
    <n v="4"/>
    <n v="5"/>
    <n v="5"/>
    <n v="4"/>
    <x v="16"/>
    <n v="42.576014817101417"/>
    <x v="0"/>
    <x v="0"/>
    <x v="0"/>
    <s v="U"/>
    <s v="U"/>
    <s v="U"/>
    <n v="2"/>
    <m/>
    <n v="2.2522522522522521E-2"/>
    <n v="6.25E-2"/>
    <n v="0.125"/>
    <x v="0"/>
    <x v="0"/>
  </r>
  <r>
    <n v="20"/>
    <s v="Week 13"/>
    <n v="13"/>
    <n v="13"/>
    <d v="1900-01-02T22:58:00"/>
    <d v="1899-12-30T03:01:00"/>
    <x v="0"/>
    <n v="24"/>
    <s v="Same"/>
    <s v="Simulation and Bootstrapping"/>
    <n v="1"/>
    <n v="7"/>
    <n v="3"/>
    <n v="1"/>
    <n v="4"/>
    <n v="5"/>
    <n v="3"/>
    <n v="4"/>
    <x v="17"/>
    <n v="43.972835314091697"/>
    <x v="0"/>
    <x v="0"/>
    <x v="0"/>
    <s v="U"/>
    <s v="U"/>
    <s v="U"/>
    <n v="2"/>
    <m/>
    <n v="1.3513513513513514E-2"/>
    <n v="7.6923076923076927E-2"/>
    <n v="0.15384615384615385"/>
    <x v="0"/>
    <x v="0"/>
  </r>
  <r>
    <n v="21"/>
    <s v="Week 14"/>
    <n v="14"/>
    <n v="14"/>
    <d v="1900-01-03T03:00:00"/>
    <d v="1899-12-30T04:02:00"/>
    <x v="0"/>
    <n v="25"/>
    <s v="Changes"/>
    <s v="Machine Learning Methods"/>
    <n v="1"/>
    <n v="9"/>
    <n v="3"/>
    <n v="1"/>
    <n v="4"/>
    <n v="5"/>
    <n v="3"/>
    <n v="4"/>
    <x v="18"/>
    <n v="45.840407470288639"/>
    <x v="0"/>
    <x v="0"/>
    <x v="0"/>
    <s v="U"/>
    <s v="U"/>
    <s v="U"/>
    <n v="2"/>
    <m/>
    <n v="1.3513513513513514E-2"/>
    <n v="7.6923076923076927E-2"/>
    <n v="0.15384615384615385"/>
    <x v="0"/>
    <x v="0"/>
  </r>
  <r>
    <n v="22"/>
    <s v="Week 14"/>
    <n v="14"/>
    <n v="14"/>
    <d v="1900-01-03T06:55:00"/>
    <d v="1899-12-30T03:55:00"/>
    <x v="0"/>
    <n v="26"/>
    <s v="Changes"/>
    <s v="Machine Learning and Prediction"/>
    <n v="1"/>
    <n v="9"/>
    <n v="3"/>
    <n v="1"/>
    <n v="4"/>
    <n v="5"/>
    <n v="3"/>
    <n v="4"/>
    <x v="19"/>
    <n v="47.653958944281541"/>
    <x v="0"/>
    <x v="0"/>
    <x v="0"/>
    <s v="U"/>
    <s v="U"/>
    <s v="U"/>
    <n v="2"/>
    <m/>
    <n v="1.3513513513513514E-2"/>
    <n v="7.6923076923076927E-2"/>
    <n v="0.15384615384615385"/>
    <x v="0"/>
    <x v="0"/>
  </r>
  <r>
    <n v="23"/>
    <s v="Week 14"/>
    <n v="14"/>
    <n v="14"/>
    <d v="1900-01-03T09:01:00"/>
    <d v="1899-12-30T02:06:00"/>
    <x v="2"/>
    <n v="36"/>
    <s v="Same"/>
    <s v="Pricing Financial Forwards and Futures"/>
    <n v="1"/>
    <n v="8"/>
    <n v="4"/>
    <n v="5"/>
    <n v="4"/>
    <n v="5"/>
    <n v="5"/>
    <n v="4"/>
    <x v="20"/>
    <n v="48.626331223954331"/>
    <x v="0"/>
    <x v="0"/>
    <x v="0"/>
    <s v="U"/>
    <s v="U"/>
    <s v="U"/>
    <n v="2"/>
    <m/>
    <n v="2.2522522522522521E-2"/>
    <n v="6.25E-2"/>
    <n v="0.125"/>
    <x v="0"/>
    <x v="0"/>
  </r>
  <r>
    <n v="24"/>
    <s v="Week 15"/>
    <n v="15"/>
    <n v="15"/>
    <d v="1900-01-03T11:51:00"/>
    <d v="1899-12-30T02:50:00"/>
    <x v="2"/>
    <n v="37"/>
    <s v="Same"/>
    <s v="Commodity Forwards and Futures"/>
    <n v="1"/>
    <n v="11"/>
    <n v="4"/>
    <n v="4"/>
    <n v="4"/>
    <n v="4"/>
    <n v="5"/>
    <n v="5"/>
    <x v="21"/>
    <n v="49.938262077481113"/>
    <x v="0"/>
    <x v="0"/>
    <x v="0"/>
    <s v="U"/>
    <s v="U"/>
    <s v="U"/>
    <n v="3"/>
    <m/>
    <n v="2.2522522522522521E-2"/>
    <n v="6.25E-2"/>
    <n v="0.1875"/>
    <x v="0"/>
    <x v="0"/>
  </r>
  <r>
    <n v="25"/>
    <s v="Week 15"/>
    <n v="15"/>
    <n v="15"/>
    <d v="1900-01-03T13:19:00"/>
    <d v="1899-12-30T01:28:00"/>
    <x v="2"/>
    <n v="33"/>
    <s v="Same"/>
    <s v="Futures Markets"/>
    <n v="1"/>
    <n v="8"/>
    <n v="3"/>
    <n v="3"/>
    <n v="3"/>
    <n v="4"/>
    <n v="4"/>
    <n v="4"/>
    <x v="22"/>
    <n v="50.617379225189083"/>
    <x v="0"/>
    <x v="0"/>
    <x v="0"/>
    <s v="U"/>
    <s v="U"/>
    <s v="U"/>
    <n v="3"/>
    <m/>
    <n v="1.8018018018018018E-2"/>
    <n v="0.05"/>
    <n v="0.15000000000000002"/>
    <x v="0"/>
    <x v="0"/>
  </r>
  <r>
    <n v="26"/>
    <s v="Week 15"/>
    <n v="15"/>
    <n v="15"/>
    <d v="1900-01-03T16:47:00"/>
    <d v="1899-12-30T03:28:00"/>
    <x v="2"/>
    <n v="34"/>
    <s v="Same"/>
    <s v="Using Futures for Hedging"/>
    <n v="1"/>
    <n v="8"/>
    <n v="3"/>
    <n v="4"/>
    <n v="4"/>
    <n v="4"/>
    <n v="5"/>
    <n v="5"/>
    <x v="23"/>
    <n v="52.222565210680685"/>
    <x v="0"/>
    <x v="0"/>
    <x v="0"/>
    <s v="U"/>
    <s v="U"/>
    <s v="U"/>
    <n v="3"/>
    <m/>
    <n v="2.2522522522522521E-2"/>
    <n v="6.25E-2"/>
    <n v="0.1875"/>
    <x v="0"/>
    <x v="0"/>
  </r>
  <r>
    <n v="27"/>
    <s v="Week 16"/>
    <n v="16"/>
    <n v="16"/>
    <d v="1900-01-03T20:33:00"/>
    <d v="1899-12-30T03:46:00"/>
    <x v="2"/>
    <n v="31"/>
    <s v="Same"/>
    <s v="Exchanges and OTC Markets"/>
    <n v="1"/>
    <n v="9"/>
    <n v="3"/>
    <n v="3"/>
    <n v="3"/>
    <n v="4"/>
    <n v="4"/>
    <n v="4"/>
    <x v="24"/>
    <n v="53.966661521839811"/>
    <x v="0"/>
    <x v="0"/>
    <x v="0"/>
    <s v="U"/>
    <s v="U"/>
    <s v="U"/>
    <n v="4"/>
    <m/>
    <n v="1.8018018018018018E-2"/>
    <n v="0.05"/>
    <n v="0.2"/>
    <x v="0"/>
    <x v="0"/>
  </r>
  <r>
    <n v="28"/>
    <s v="Week 16"/>
    <n v="16"/>
    <n v="16"/>
    <d v="1900-01-03T22:54:00"/>
    <d v="1899-12-30T02:21:00"/>
    <x v="2"/>
    <n v="32"/>
    <s v="Same"/>
    <s v="Central Clearing"/>
    <n v="1"/>
    <n v="9"/>
    <n v="2"/>
    <n v="1"/>
    <n v="3"/>
    <n v="4"/>
    <n v="3"/>
    <n v="4"/>
    <x v="4"/>
    <n v="55.054792406235542"/>
    <x v="0"/>
    <x v="0"/>
    <x v="0"/>
    <s v="U"/>
    <s v="U"/>
    <s v="U"/>
    <n v="5"/>
    <m/>
    <n v="1.3513513513513514E-2"/>
    <n v="3.7499999999999999E-2"/>
    <n v="0.1875"/>
    <x v="0"/>
    <x v="0"/>
  </r>
  <r>
    <n v="29"/>
    <s v="Week 17"/>
    <n v="17"/>
    <n v="17"/>
    <d v="1900-01-04T02:03:00"/>
    <d v="1899-12-30T03:09:00"/>
    <x v="2"/>
    <n v="40"/>
    <s v="Same"/>
    <s v="Trading Strategies"/>
    <n v="1"/>
    <n v="4"/>
    <n v="4"/>
    <n v="5"/>
    <n v="4"/>
    <n v="5"/>
    <n v="4"/>
    <n v="4"/>
    <x v="25"/>
    <n v="56.513350825744723"/>
    <x v="0"/>
    <x v="0"/>
    <x v="0"/>
    <s v="U"/>
    <s v="U"/>
    <s v="U"/>
    <n v="2"/>
    <m/>
    <n v="1.8018018018018018E-2"/>
    <n v="0.05"/>
    <n v="0.1"/>
    <x v="0"/>
    <x v="0"/>
  </r>
  <r>
    <n v="30"/>
    <s v="Week 17"/>
    <n v="17"/>
    <n v="17"/>
    <d v="1900-01-04T03:50:00"/>
    <d v="1899-12-30T01:47:00"/>
    <x v="3"/>
    <n v="60"/>
    <s v="Same"/>
    <s v="Binomial Trees"/>
    <n v="1"/>
    <n v="5"/>
    <n v="3"/>
    <n v="5"/>
    <n v="4"/>
    <n v="5"/>
    <n v="5"/>
    <n v="4"/>
    <x v="2"/>
    <n v="57.339095539435107"/>
    <x v="0"/>
    <x v="0"/>
    <x v="0"/>
    <s v="U"/>
    <s v="U"/>
    <s v="U"/>
    <n v="2"/>
    <m/>
    <n v="2.2522522522522521E-2"/>
    <n v="7.8125E-2"/>
    <n v="0.15625"/>
    <x v="0"/>
    <x v="0"/>
  </r>
  <r>
    <n v="31"/>
    <s v="Week 17"/>
    <n v="17"/>
    <n v="17"/>
    <d v="1900-01-04T06:22:00"/>
    <d v="1899-12-30T02:32:00"/>
    <x v="3"/>
    <n v="61"/>
    <s v="Same"/>
    <s v="The Black Scholes Merton Model"/>
    <n v="1"/>
    <n v="8"/>
    <n v="3"/>
    <n v="5"/>
    <n v="5"/>
    <n v="5"/>
    <n v="5"/>
    <n v="4"/>
    <x v="15"/>
    <n v="58.512116067294343"/>
    <x v="0"/>
    <x v="0"/>
    <x v="0"/>
    <s v="U"/>
    <s v="U"/>
    <s v="U"/>
    <n v="2"/>
    <m/>
    <n v="2.2522522522522521E-2"/>
    <n v="7.8125E-2"/>
    <n v="0.15625"/>
    <x v="0"/>
    <x v="0"/>
  </r>
  <r>
    <n v="32"/>
    <s v="Week 18"/>
    <n v="18"/>
    <n v="18"/>
    <d v="1900-01-04T10:06:00"/>
    <d v="1899-12-30T03:44:00"/>
    <x v="3"/>
    <n v="62"/>
    <s v="Changes"/>
    <s v="Option Sensitivity Measures-The Greeks"/>
    <n v="1"/>
    <n v="9"/>
    <n v="4"/>
    <n v="3"/>
    <n v="5"/>
    <n v="5"/>
    <n v="5"/>
    <n v="5"/>
    <x v="26"/>
    <n v="60.240777897823747"/>
    <x v="0"/>
    <x v="0"/>
    <x v="0"/>
    <s v="U"/>
    <s v="U"/>
    <s v="U"/>
    <n v="3"/>
    <m/>
    <n v="2.2522522522522521E-2"/>
    <n v="7.8125E-2"/>
    <n v="0.234375"/>
    <x v="0"/>
    <x v="0"/>
  </r>
  <r>
    <n v="33"/>
    <s v="Week 18"/>
    <n v="18"/>
    <n v="18"/>
    <d v="1900-01-04T12:25:00"/>
    <d v="1899-12-30T02:19:00"/>
    <x v="2"/>
    <n v="41"/>
    <s v="Same"/>
    <s v="Exotic Options"/>
    <n v="1"/>
    <n v="7"/>
    <n v="4"/>
    <n v="3"/>
    <n v="5"/>
    <n v="5"/>
    <n v="3"/>
    <n v="4"/>
    <x v="27"/>
    <n v="61.313474301589764"/>
    <x v="0"/>
    <x v="0"/>
    <x v="0"/>
    <s v="U"/>
    <s v="U"/>
    <s v="U"/>
    <n v="2"/>
    <m/>
    <n v="1.3513513513513514E-2"/>
    <n v="3.7499999999999999E-2"/>
    <n v="7.4999999999999997E-2"/>
    <x v="0"/>
    <x v="0"/>
  </r>
  <r>
    <n v="34"/>
    <s v="Week 18"/>
    <n v="18"/>
    <n v="18"/>
    <d v="1900-01-04T13:20:00"/>
    <d v="1899-12-30T00:55:00"/>
    <x v="1"/>
    <n v="11"/>
    <s v="Same"/>
    <s v="GARP Code of Conduct"/>
    <n v="1"/>
    <n v="2"/>
    <n v="2"/>
    <n v="1"/>
    <n v="2"/>
    <n v="3"/>
    <n v="4"/>
    <n v="4"/>
    <x v="28"/>
    <n v="61.737922518907254"/>
    <x v="0"/>
    <x v="0"/>
    <x v="0"/>
    <s v="U"/>
    <s v="U"/>
    <s v="U"/>
    <n v="3"/>
    <m/>
    <n v="1.8018018018018018E-2"/>
    <n v="0.10256410256410256"/>
    <n v="0.30769230769230771"/>
    <x v="0"/>
    <x v="0"/>
  </r>
  <r>
    <n v="35"/>
    <s v="Week 18"/>
    <n v="18"/>
    <n v="18"/>
    <d v="1900-01-04T14:35:00"/>
    <d v="1899-12-30T01:15:00"/>
    <x v="1"/>
    <n v="7"/>
    <s v="Same"/>
    <s v="Principles for Effective Data Aggregation and Risk Reporting"/>
    <n v="1"/>
    <n v="4"/>
    <n v="2"/>
    <n v="1"/>
    <n v="2"/>
    <n v="4"/>
    <n v="2"/>
    <n v="3"/>
    <x v="29"/>
    <n v="62.316715542522005"/>
    <x v="0"/>
    <x v="0"/>
    <x v="0"/>
    <s v="U"/>
    <s v="U"/>
    <s v="U"/>
    <n v="3"/>
    <m/>
    <n v="9.0090090090090089E-3"/>
    <n v="5.128205128205128E-2"/>
    <n v="0.15384615384615385"/>
    <x v="0"/>
    <x v="0"/>
  </r>
  <r>
    <n v="36"/>
    <s v="Week 18"/>
    <n v="18"/>
    <n v="18"/>
    <d v="1900-01-04T16:18:00"/>
    <d v="1899-12-30T01:43:00"/>
    <x v="2"/>
    <n v="42"/>
    <s v="Same"/>
    <s v="Properties of Interest Rates"/>
    <n v="1"/>
    <n v="11"/>
    <n v="3"/>
    <n v="4"/>
    <n v="4"/>
    <n v="5"/>
    <n v="5"/>
    <n v="4"/>
    <x v="30"/>
    <n v="63.111591294952937"/>
    <x v="0"/>
    <x v="0"/>
    <x v="0"/>
    <s v="U"/>
    <s v="U"/>
    <s v="U"/>
    <n v="3"/>
    <m/>
    <n v="2.2522522522522521E-2"/>
    <n v="6.25E-2"/>
    <n v="0.1875"/>
    <x v="0"/>
    <x v="0"/>
  </r>
  <r>
    <n v="37"/>
    <s v="Week 19"/>
    <n v="19"/>
    <n v="19"/>
    <d v="1900-01-04T19:28:00"/>
    <d v="1899-12-30T03:10:00"/>
    <x v="3"/>
    <n v="56"/>
    <s v="Changes"/>
    <s v="Interest Rates"/>
    <n v="1"/>
    <n v="8"/>
    <n v="4"/>
    <n v="4"/>
    <n v="4"/>
    <n v="4"/>
    <n v="5"/>
    <n v="4"/>
    <x v="31"/>
    <n v="64.577866954776979"/>
    <x v="0"/>
    <x v="0"/>
    <x v="0"/>
    <s v="U"/>
    <s v="U"/>
    <s v="U"/>
    <n v="2"/>
    <m/>
    <n v="2.2522522522522521E-2"/>
    <n v="7.8125E-2"/>
    <n v="0.15625"/>
    <x v="0"/>
    <x v="0"/>
  </r>
  <r>
    <n v="38"/>
    <s v="Week 20"/>
    <n v="20"/>
    <n v="20"/>
    <d v="1900-01-05T06:57:00"/>
    <d v="1899-12-30T11:29:00"/>
    <x v="3"/>
    <s v="55 to 57"/>
    <s v="Same"/>
    <s v="Fixed Income"/>
    <n v="3"/>
    <n v="24"/>
    <n v="4"/>
    <n v="4"/>
    <n v="4"/>
    <n v="4"/>
    <n v="5"/>
    <n v="4"/>
    <x v="32"/>
    <n v="69.895045531717869"/>
    <x v="0"/>
    <x v="0"/>
    <x v="0"/>
    <s v="U"/>
    <s v="U"/>
    <s v="U"/>
    <n v="2"/>
    <m/>
    <n v="2.2522522522522521E-2"/>
    <n v="7.8125E-2"/>
    <n v="0.15625"/>
    <x v="0"/>
    <x v="0"/>
  </r>
  <r>
    <n v="39"/>
    <s v="Week 22"/>
    <n v="22"/>
    <n v="21"/>
    <d v="1900-01-05T16:21:00"/>
    <d v="1899-12-30T09:24:00"/>
    <x v="3"/>
    <n v="58"/>
    <s v="Same"/>
    <s v="Applying Duration, Convexity, and DV01"/>
    <n v="1"/>
    <n v="9"/>
    <n v="5"/>
    <n v="4"/>
    <n v="5"/>
    <n v="5"/>
    <n v="5"/>
    <n v="4"/>
    <x v="33"/>
    <n v="74.247569069300837"/>
    <x v="0"/>
    <x v="0"/>
    <x v="0"/>
    <s v="U"/>
    <s v="U"/>
    <s v="U"/>
    <n v="2"/>
    <m/>
    <n v="2.2522522522522521E-2"/>
    <n v="7.8125E-2"/>
    <n v="0.15625"/>
    <x v="0"/>
    <x v="0"/>
  </r>
  <r>
    <n v="40"/>
    <s v="Week 22"/>
    <n v="22"/>
    <n v="22"/>
    <d v="1900-01-05T18:10:00"/>
    <d v="1899-12-30T01:49:00"/>
    <x v="3"/>
    <n v="59"/>
    <s v="Changes"/>
    <s v="Modeling Non Parallel Term Structure Shifts and Hedging"/>
    <n v="1"/>
    <n v="7"/>
    <n v="3"/>
    <n v="2"/>
    <n v="5"/>
    <n v="5"/>
    <n v="3"/>
    <n v="4"/>
    <x v="34"/>
    <n v="75.088748263620943"/>
    <x v="0"/>
    <x v="0"/>
    <x v="0"/>
    <s v="U"/>
    <s v="U"/>
    <s v="U"/>
    <n v="2"/>
    <m/>
    <n v="1.3513513513513514E-2"/>
    <n v="4.6875E-2"/>
    <n v="9.375E-2"/>
    <x v="0"/>
    <x v="0"/>
  </r>
  <r>
    <n v="41"/>
    <s v="Week 22"/>
    <n v="22"/>
    <n v="22"/>
    <d v="1900-01-05T21:09:00"/>
    <d v="1899-12-30T02:59:00"/>
    <x v="2"/>
    <n v="43"/>
    <s v="Same"/>
    <s v="Corporate Bonds"/>
    <n v="1"/>
    <n v="9"/>
    <n v="3"/>
    <n v="2"/>
    <n v="3"/>
    <n v="3"/>
    <n v="3"/>
    <n v="4"/>
    <x v="35"/>
    <n v="76.470134279981494"/>
    <x v="0"/>
    <x v="0"/>
    <x v="0"/>
    <s v="U"/>
    <s v="U"/>
    <s v="U"/>
    <n v="2"/>
    <m/>
    <n v="1.3513513513513514E-2"/>
    <n v="3.7499999999999999E-2"/>
    <n v="7.4999999999999997E-2"/>
    <x v="0"/>
    <x v="0"/>
  </r>
  <r>
    <n v="42"/>
    <s v="Week 23"/>
    <n v="23"/>
    <n v="23"/>
    <d v="1900-01-06T02:07:00"/>
    <d v="1899-12-30T04:58:00"/>
    <x v="2"/>
    <n v="44"/>
    <s v="Same"/>
    <s v="Mortgages and Mortgage-Backed Securities"/>
    <n v="1"/>
    <n v="10"/>
    <n v="4"/>
    <n v="3"/>
    <n v="5"/>
    <n v="5"/>
    <n v="4"/>
    <n v="4"/>
    <x v="36"/>
    <n v="78.769871893810802"/>
    <x v="0"/>
    <x v="0"/>
    <x v="0"/>
    <s v="U"/>
    <s v="U"/>
    <s v="U"/>
    <n v="3"/>
    <m/>
    <n v="1.8018018018018018E-2"/>
    <n v="0.05"/>
    <n v="0.15000000000000002"/>
    <x v="0"/>
    <x v="0"/>
  </r>
  <r>
    <n v="43"/>
    <s v="Week 23"/>
    <n v="23"/>
    <n v="23"/>
    <d v="1900-01-06T05:31:00"/>
    <d v="1899-12-30T03:24:00"/>
    <x v="2"/>
    <n v="45"/>
    <s v="Same"/>
    <s v="Interest Rate Futures"/>
    <n v="1"/>
    <n v="11"/>
    <n v="4"/>
    <n v="4"/>
    <n v="4"/>
    <n v="5"/>
    <n v="5"/>
    <n v="5"/>
    <x v="37"/>
    <n v="80.344188918042931"/>
    <x v="0"/>
    <x v="0"/>
    <x v="0"/>
    <s v="U"/>
    <s v="U"/>
    <s v="U"/>
    <n v="2"/>
    <m/>
    <n v="2.2522522522522521E-2"/>
    <n v="6.25E-2"/>
    <n v="0.125"/>
    <x v="0"/>
    <x v="0"/>
  </r>
  <r>
    <n v="44"/>
    <s v="Week 24"/>
    <n v="24"/>
    <n v="24"/>
    <d v="1900-01-06T09:26:00"/>
    <d v="1899-12-30T03:55:00"/>
    <x v="2"/>
    <n v="46"/>
    <s v="Changes"/>
    <s v="Swaps"/>
    <n v="1"/>
    <n v="13"/>
    <n v="4"/>
    <n v="5"/>
    <n v="5"/>
    <n v="5"/>
    <n v="4"/>
    <n v="5"/>
    <x v="19"/>
    <n v="82.157740392035834"/>
    <x v="0"/>
    <x v="0"/>
    <x v="0"/>
    <s v="U"/>
    <s v="U"/>
    <s v="U"/>
    <n v="2"/>
    <m/>
    <n v="1.8018018018018018E-2"/>
    <n v="0.05"/>
    <n v="0.1"/>
    <x v="0"/>
    <x v="0"/>
  </r>
  <r>
    <n v="45"/>
    <s v="Week 24"/>
    <n v="24"/>
    <n v="24"/>
    <d v="1900-01-06T12:27:00"/>
    <d v="1899-12-30T03:01:00"/>
    <x v="3"/>
    <n v="51"/>
    <s v="Changes"/>
    <s v="Country Risk-Determinants, Measures, and Implications"/>
    <n v="1"/>
    <n v="6"/>
    <n v="2"/>
    <n v="1"/>
    <n v="2"/>
    <n v="2"/>
    <n v="2"/>
    <n v="3"/>
    <x v="17"/>
    <n v="83.554560889026106"/>
    <x v="0"/>
    <x v="0"/>
    <x v="0"/>
    <s v="U"/>
    <s v="U"/>
    <s v="U"/>
    <n v="2"/>
    <m/>
    <n v="9.0090090090090089E-3"/>
    <n v="3.125E-2"/>
    <n v="6.25E-2"/>
    <x v="0"/>
    <x v="0"/>
  </r>
  <r>
    <n v="46"/>
    <s v="Week 25"/>
    <n v="25"/>
    <n v="25"/>
    <d v="1900-01-06T17:43:00"/>
    <d v="1899-12-30T05:16:00"/>
    <x v="3"/>
    <n v="50"/>
    <s v="Same"/>
    <s v="External and Internal Credit Ratings"/>
    <n v="1"/>
    <n v="10"/>
    <n v="4"/>
    <n v="3"/>
    <n v="4"/>
    <n v="4"/>
    <n v="4"/>
    <n v="4"/>
    <x v="38"/>
    <n v="85.993208828522938"/>
    <x v="0"/>
    <x v="0"/>
    <x v="0"/>
    <s v="U"/>
    <s v="U"/>
    <s v="U"/>
    <n v="3"/>
    <m/>
    <n v="1.8018018018018018E-2"/>
    <n v="6.25E-2"/>
    <n v="0.1875"/>
    <x v="0"/>
    <x v="0"/>
  </r>
  <r>
    <n v="47"/>
    <s v="Week 26"/>
    <n v="26"/>
    <n v="26"/>
    <d v="1900-01-06T22:29:00"/>
    <d v="1899-12-30T04:46:00"/>
    <x v="1"/>
    <n v="1"/>
    <s v="Same"/>
    <s v="The Building Blocks of Risk Management"/>
    <n v="1"/>
    <n v="6"/>
    <n v="4"/>
    <n v="2"/>
    <n v="3"/>
    <n v="3"/>
    <n v="3"/>
    <n v="3"/>
    <x v="39"/>
    <n v="88.200339558573887"/>
    <x v="0"/>
    <x v="0"/>
    <x v="0"/>
    <s v="U"/>
    <s v="U"/>
    <s v="U"/>
    <n v="3"/>
    <m/>
    <n v="1.3513513513513514E-2"/>
    <n v="7.6923076923076927E-2"/>
    <n v="0.23076923076923078"/>
    <x v="0"/>
    <x v="0"/>
  </r>
  <r>
    <n v="48"/>
    <s v="Week 26"/>
    <n v="26"/>
    <n v="26"/>
    <d v="1900-01-06T23:24:00"/>
    <d v="1899-12-30T00:55:00"/>
    <x v="3"/>
    <n v="47"/>
    <s v="Same"/>
    <s v="Measures of Financial Risk"/>
    <n v="1"/>
    <n v="6"/>
    <n v="3"/>
    <n v="3"/>
    <n v="4"/>
    <n v="5"/>
    <n v="4"/>
    <n v="4"/>
    <x v="28"/>
    <n v="88.624787775891363"/>
    <x v="0"/>
    <x v="0"/>
    <x v="0"/>
    <s v="U"/>
    <s v="U"/>
    <s v="U"/>
    <n v="3"/>
    <m/>
    <n v="1.8018018018018018E-2"/>
    <n v="6.25E-2"/>
    <n v="0.1875"/>
    <x v="0"/>
    <x v="0"/>
  </r>
  <r>
    <n v="49"/>
    <s v="Week 26"/>
    <n v="26"/>
    <n v="26"/>
    <d v="1900-01-07T02:14:00"/>
    <d v="1899-12-30T02:50:00"/>
    <x v="3"/>
    <n v="48"/>
    <s v="Changes"/>
    <s v="Calculating and Applying VaR"/>
    <n v="1"/>
    <n v="8"/>
    <n v="3"/>
    <n v="3"/>
    <n v="4"/>
    <n v="4"/>
    <n v="5"/>
    <n v="5"/>
    <x v="21"/>
    <n v="89.936718629418138"/>
    <x v="0"/>
    <x v="0"/>
    <x v="0"/>
    <s v="U"/>
    <s v="U"/>
    <s v="U"/>
    <n v="2"/>
    <m/>
    <n v="2.2522522522522521E-2"/>
    <n v="7.8125E-2"/>
    <n v="0.15625"/>
    <x v="0"/>
    <x v="0"/>
  </r>
  <r>
    <n v="50"/>
    <s v="Week 26"/>
    <n v="26"/>
    <n v="26"/>
    <d v="1900-01-07T04:26:00"/>
    <d v="1899-12-30T02:12:00"/>
    <x v="3"/>
    <n v="49"/>
    <s v="Changes"/>
    <s v="Measuring and Monitoring Volatility"/>
    <n v="1"/>
    <n v="9"/>
    <n v="4"/>
    <n v="3"/>
    <n v="5"/>
    <n v="5"/>
    <n v="5"/>
    <n v="5"/>
    <x v="40"/>
    <n v="90.955394350980114"/>
    <x v="0"/>
    <x v="0"/>
    <x v="0"/>
    <s v="U"/>
    <s v="U"/>
    <s v="U"/>
    <n v="2"/>
    <m/>
    <n v="2.2522522522522521E-2"/>
    <n v="7.8125E-2"/>
    <n v="0.15625"/>
    <x v="0"/>
    <x v="0"/>
  </r>
  <r>
    <n v="51"/>
    <s v="Week 27"/>
    <n v="27"/>
    <n v="27"/>
    <d v="1900-01-07T05:58:00"/>
    <d v="1899-12-30T01:32:00"/>
    <x v="3"/>
    <n v="54"/>
    <s v="Changes"/>
    <s v="Stress Testing"/>
    <n v="1"/>
    <n v="8"/>
    <n v="2"/>
    <n v="1"/>
    <n v="3"/>
    <n v="3"/>
    <n v="3"/>
    <n v="3"/>
    <x v="41"/>
    <n v="91.665380459947542"/>
    <x v="0"/>
    <x v="0"/>
    <x v="0"/>
    <s v="U"/>
    <s v="U"/>
    <s v="U"/>
    <n v="3"/>
    <m/>
    <n v="1.3513513513513514E-2"/>
    <n v="4.6875E-2"/>
    <n v="0.140625"/>
    <x v="0"/>
    <x v="0"/>
  </r>
  <r>
    <n v="52"/>
    <s v="Week 27"/>
    <n v="27"/>
    <n v="27"/>
    <d v="1900-01-07T08:52:00"/>
    <d v="1899-12-30T02:54:00"/>
    <x v="3"/>
    <n v="52"/>
    <s v="Same"/>
    <s v="Measuring Credit Risk"/>
    <n v="1"/>
    <n v="11"/>
    <n v="3"/>
    <n v="3"/>
    <n v="4"/>
    <n v="4"/>
    <n v="4"/>
    <n v="4"/>
    <x v="42"/>
    <n v="93.008180274733775"/>
    <x v="0"/>
    <x v="0"/>
    <x v="0"/>
    <s v="U"/>
    <s v="U"/>
    <s v="U"/>
    <n v="3"/>
    <m/>
    <n v="1.8018018018018018E-2"/>
    <n v="6.25E-2"/>
    <n v="0.1875"/>
    <x v="0"/>
    <x v="0"/>
  </r>
  <r>
    <n v="53"/>
    <s v="Week 27"/>
    <n v="27"/>
    <n v="27"/>
    <d v="1900-01-07T12:39:00"/>
    <d v="1899-12-30T03:47:00"/>
    <x v="3"/>
    <n v="53"/>
    <s v="Same"/>
    <s v="Operational Risk"/>
    <n v="1"/>
    <n v="10"/>
    <n v="5"/>
    <n v="2"/>
    <n v="3"/>
    <n v="4"/>
    <n v="4"/>
    <n v="4"/>
    <x v="43"/>
    <n v="94.759993826207761"/>
    <x v="0"/>
    <x v="0"/>
    <x v="0"/>
    <s v="U"/>
    <s v="U"/>
    <s v="U"/>
    <n v="3"/>
    <m/>
    <n v="1.8018018018018018E-2"/>
    <n v="6.25E-2"/>
    <n v="0.1875"/>
    <x v="0"/>
    <x v="0"/>
  </r>
  <r>
    <n v="54"/>
    <s v="Week 28"/>
    <n v="28"/>
    <n v="28"/>
    <d v="1900-01-07T14:59:00"/>
    <d v="1899-12-30T02:20:00"/>
    <x v="1"/>
    <n v="9"/>
    <s v="Changes"/>
    <s v="Learning from Financial Disasters"/>
    <n v="1"/>
    <n v="10"/>
    <n v="3"/>
    <n v="1"/>
    <n v="4"/>
    <n v="4"/>
    <n v="4"/>
    <n v="5"/>
    <x v="11"/>
    <n v="95.840407470288625"/>
    <x v="0"/>
    <x v="0"/>
    <x v="0"/>
    <s v="U"/>
    <s v="U"/>
    <s v="U"/>
    <n v="3"/>
    <m/>
    <n v="1.8018018018018018E-2"/>
    <n v="0.10256410256410256"/>
    <n v="0.30769230769230771"/>
    <x v="0"/>
    <x v="0"/>
  </r>
  <r>
    <n v="55"/>
    <s v="Week 28"/>
    <n v="28"/>
    <n v="28"/>
    <d v="1900-01-07T18:43:00"/>
    <d v="1899-12-30T03:44:00"/>
    <x v="1"/>
    <n v="8"/>
    <s v="Same"/>
    <s v="Enterprise Risk Management and Future Trends"/>
    <n v="1"/>
    <n v="6"/>
    <n v="3"/>
    <n v="1"/>
    <n v="2"/>
    <n v="2"/>
    <n v="3"/>
    <n v="3"/>
    <x v="26"/>
    <n v="97.569069300818029"/>
    <x v="0"/>
    <x v="0"/>
    <x v="0"/>
    <s v="U"/>
    <s v="U"/>
    <s v="U"/>
    <n v="3"/>
    <m/>
    <n v="1.3513513513513514E-2"/>
    <n v="7.6923076923076927E-2"/>
    <n v="0.23076923076923078"/>
    <x v="0"/>
    <x v="0"/>
  </r>
  <r>
    <n v="56"/>
    <s v="Week 29"/>
    <n v="29"/>
    <n v="29"/>
    <d v="1900-01-07T23:58:00"/>
    <d v="1899-12-30T02:04:00"/>
    <x v="1"/>
    <n v="3"/>
    <s v="Same"/>
    <s v="The Governance of Risk Management"/>
    <n v="1"/>
    <n v="6"/>
    <n v="3"/>
    <n v="1"/>
    <n v="2"/>
    <n v="3"/>
    <n v="3"/>
    <n v="3"/>
    <x v="44"/>
    <n v="98.526007099861076"/>
    <x v="0"/>
    <x v="0"/>
    <x v="0"/>
    <s v="U"/>
    <s v="U"/>
    <s v="U"/>
    <n v="2"/>
    <m/>
    <n v="1.3513513513513514E-2"/>
    <n v="7.6923076923076927E-2"/>
    <n v="0.15384615384615385"/>
    <x v="0"/>
    <x v="0"/>
  </r>
  <r>
    <n v="57"/>
    <s v="Week 29"/>
    <n v="29"/>
    <n v="29"/>
    <d v="1900-01-07T23:58:00"/>
    <d v="1899-12-30T03:11:00"/>
    <x v="1"/>
    <n v="2"/>
    <s v="Same"/>
    <s v="How Do Firms Manage Financial Risk"/>
    <n v="1"/>
    <n v="5"/>
    <n v="3"/>
    <n v="1"/>
    <n v="3"/>
    <n v="3"/>
    <n v="3"/>
    <n v="3"/>
    <x v="45"/>
    <n v="100"/>
    <x v="0"/>
    <x v="0"/>
    <x v="0"/>
    <s v="U"/>
    <s v="U"/>
    <s v="U"/>
    <n v="3"/>
    <m/>
    <n v="1.3513513513513514E-2"/>
    <n v="7.6923076923076927E-2"/>
    <n v="0.23076923076923078"/>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7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4">
        <item m="1" x="1"/>
        <item x="0"/>
        <item m="1" x="2"/>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1"/>
  </rowFields>
  <rowItems count="2">
    <i>
      <x v="1"/>
    </i>
    <i t="grand">
      <x/>
    </i>
  </rowItems>
  <colItems count="1">
    <i/>
  </colItems>
  <dataFields count="1">
    <dataField name="Sum of No. of Chapters" fld="10" baseField="0" baseItem="0"/>
  </dataFields>
  <formats count="6">
    <format dxfId="53">
      <pivotArea type="all" dataOnly="0" outline="0" fieldPosition="0"/>
    </format>
    <format dxfId="52">
      <pivotArea outline="0" collapsedLevelsAreSubtotals="1" fieldPosition="0"/>
    </format>
    <format dxfId="51">
      <pivotArea field="31" type="button" dataOnly="0" labelOnly="1" outline="0" axis="axisRow" fieldPosition="0"/>
    </format>
    <format dxfId="50">
      <pivotArea dataOnly="0" labelOnly="1" fieldPosition="0">
        <references count="1">
          <reference field="31" count="0"/>
        </references>
      </pivotArea>
    </format>
    <format dxfId="49">
      <pivotArea dataOnly="0" labelOnly="1" grandRow="1" outline="0" fieldPosition="0"/>
    </format>
    <format dxfId="48">
      <pivotArea dataOnly="0" labelOnly="1" outline="0" axis="axisValues" fieldPosition="0"/>
    </format>
  </formats>
  <chartFormats count="3">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31" count="1" selected="0">
            <x v="0"/>
          </reference>
        </references>
      </pivotArea>
    </chartFormat>
    <chartFormat chart="6" format="11">
      <pivotArea type="data" outline="0" fieldPosition="0">
        <references count="2">
          <reference field="4294967294" count="1" selected="0">
            <x v="0"/>
          </reference>
          <reference field="3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7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axis="axisRow" showAll="0">
      <items count="3">
        <item m="1" x="1"/>
        <item x="0"/>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2"/>
  </rowFields>
  <rowItems count="2">
    <i>
      <x v="1"/>
    </i>
    <i t="grand">
      <x/>
    </i>
  </rowItems>
  <colItems count="1">
    <i/>
  </colItems>
  <dataFields count="1">
    <dataField name="Sum of No. of Chapters" fld="10" baseField="0" baseItem="0"/>
  </dataFields>
  <formats count="6">
    <format dxfId="59">
      <pivotArea type="all" dataOnly="0" outline="0" fieldPosition="0"/>
    </format>
    <format dxfId="58">
      <pivotArea outline="0" collapsedLevelsAreSubtotals="1" fieldPosition="0"/>
    </format>
    <format dxfId="57">
      <pivotArea field="22" type="button" dataOnly="0" labelOnly="1" outline="0" axis="axisRow" fieldPosition="0"/>
    </format>
    <format dxfId="56">
      <pivotArea dataOnly="0" labelOnly="1" fieldPosition="0">
        <references count="1">
          <reference field="22" count="0"/>
        </references>
      </pivotArea>
    </format>
    <format dxfId="55">
      <pivotArea dataOnly="0" labelOnly="1" grandRow="1" outline="0" fieldPosition="0"/>
    </format>
    <format dxfId="54">
      <pivotArea dataOnly="0" labelOnly="1" outline="0" axis="axisValues" fieldPosition="0"/>
    </format>
  </formats>
  <chartFormats count="3">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2" count="1" selected="0">
            <x v="0"/>
          </reference>
        </references>
      </pivotArea>
    </chartFormat>
    <chartFormat chart="5" format="10">
      <pivotArea type="data" outline="0" fieldPosition="0">
        <references count="2">
          <reference field="4294967294" count="1" selected="0">
            <x v="0"/>
          </reference>
          <reference field="2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7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4">
        <item m="1" x="1"/>
        <item x="0"/>
        <item m="1" x="2"/>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2"/>
  </rowFields>
  <rowItems count="2">
    <i>
      <x v="1"/>
    </i>
    <i t="grand">
      <x/>
    </i>
  </rowItems>
  <colItems count="1">
    <i/>
  </colItems>
  <dataFields count="1">
    <dataField name="Sum of No. of Chapters" fld="10" baseField="0" baseItem="0"/>
  </dataFields>
  <formats count="6">
    <format dxfId="65">
      <pivotArea type="all" dataOnly="0" outline="0" fieldPosition="0"/>
    </format>
    <format dxfId="64">
      <pivotArea outline="0" collapsedLevelsAreSubtotals="1" fieldPosition="0"/>
    </format>
    <format dxfId="63">
      <pivotArea field="32" type="button" dataOnly="0" labelOnly="1" outline="0" axis="axisRow" fieldPosition="0"/>
    </format>
    <format dxfId="62">
      <pivotArea dataOnly="0" labelOnly="1" fieldPosition="0">
        <references count="1">
          <reference field="32" count="0"/>
        </references>
      </pivotArea>
    </format>
    <format dxfId="61">
      <pivotArea dataOnly="0" labelOnly="1" grandRow="1" outline="0" fieldPosition="0"/>
    </format>
    <format dxfId="60">
      <pivotArea dataOnly="0" labelOnly="1" outline="0" axis="axisValues" fieldPosition="0"/>
    </format>
  </formats>
  <chartFormats count="3">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32" count="1" selected="0">
            <x v="0"/>
          </reference>
        </references>
      </pivotArea>
    </chartFormat>
    <chartFormat chart="6" format="11">
      <pivotArea type="data" outline="0" fieldPosition="0">
        <references count="2">
          <reference field="4294967294" count="1" selected="0">
            <x v="0"/>
          </reference>
          <reference field="3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7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71">
      <pivotArea type="all" dataOnly="0" outline="0" fieldPosition="0"/>
    </format>
    <format dxfId="70">
      <pivotArea outline="0" collapsedLevelsAreSubtotals="1" fieldPosition="0"/>
    </format>
    <format dxfId="69">
      <pivotArea field="20" type="button" dataOnly="0" labelOnly="1" outline="0" axis="axisRow" fieldPosition="0"/>
    </format>
    <format dxfId="68">
      <pivotArea dataOnly="0" labelOnly="1" fieldPosition="0">
        <references count="1">
          <reference field="20" count="0"/>
        </references>
      </pivotArea>
    </format>
    <format dxfId="67">
      <pivotArea dataOnly="0" labelOnly="1" grandRow="1" outline="0" fieldPosition="0"/>
    </format>
    <format dxfId="66">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7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77">
      <pivotArea type="all" dataOnly="0" outline="0" fieldPosition="0"/>
    </format>
    <format dxfId="76">
      <pivotArea outline="0" collapsedLevelsAreSubtotals="1" fieldPosition="0"/>
    </format>
    <format dxfId="75">
      <pivotArea field="21" type="button" dataOnly="0" labelOnly="1" outline="0" axis="axisRow" fieldPosition="0"/>
    </format>
    <format dxfId="74">
      <pivotArea dataOnly="0" labelOnly="1" fieldPosition="0">
        <references count="1">
          <reference field="21" count="0"/>
        </references>
      </pivotArea>
    </format>
    <format dxfId="73">
      <pivotArea dataOnly="0" labelOnly="1" grandRow="1" outline="0" fieldPosition="0"/>
    </format>
    <format dxfId="72">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0"/>
          </reference>
        </references>
      </pivotArea>
    </chartFormat>
    <chartFormat chart="6" format="10">
      <pivotArea type="data" outline="0" fieldPosition="0">
        <references count="2">
          <reference field="4294967294" count="1" selected="0">
            <x v="0"/>
          </reference>
          <reference field="2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7">
        <i x="2"/>
        <i x="1"/>
        <i x="0" s="1"/>
        <i x="3"/>
        <i x="12"/>
        <i x="13"/>
        <i x="4"/>
        <i x="11"/>
        <i x="14"/>
        <i x="8"/>
        <i x="15"/>
        <i x="9"/>
        <i x="16"/>
        <i x="10"/>
        <i x="6"/>
        <i x="5"/>
        <i x="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H65" totalsRowShown="0" headerRowDxfId="115" dataDxfId="113" headerRowBorderDxfId="114" tableBorderDxfId="112" totalsRowBorderDxfId="111">
  <autoFilter ref="B8:AH65" xr:uid="{861EE33C-73C1-4F33-9192-F531CCE54052}"/>
  <tableColumns count="33">
    <tableColumn id="9" xr3:uid="{1F1DE16E-278E-4EF8-B2BB-8924E21CCBFE}" name="Order of Study" dataDxfId="110"/>
    <tableColumn id="33" xr3:uid="{BBAB2BFB-594B-429D-A8B8-83652595607C}" name="Schedule" dataDxfId="109">
      <calculatedColumnFormula>IF(Master_Data[[#This Row],[Column1]]="Done","",IF(Master_Data[[#This Row],[Column1]]=MIN(Master_Data[Column1]),"Current Week",CONCATENATE("Week ",Master_Data[[#This Row],[Column1]])))</calculatedColumnFormula>
    </tableColumn>
    <tableColumn id="32" xr3:uid="{9A94244A-9683-470A-BBD0-A46326317C2C}" name="Column1" dataDxfId="108">
      <calculatedColumnFormula>IF(Master_Data[[#This Row],[Cum. Undone hrs]]=0,"Done",ROUNDUP(Master_Data[[#This Row],[Cum. Undone hrs]]/Working!$C$8,0))</calculatedColumnFormula>
    </tableColumn>
    <tableColumn id="8" xr3:uid="{CBD76F79-197D-456A-86C8-030975CC989E}" name="Column2" dataDxfId="107">
      <calculatedColumnFormula>IF(OR(D9=D8,D9=D8+1),Master_Data[[#This Row],[Column1]],D9-1)</calculatedColumnFormula>
    </tableColumn>
    <tableColumn id="30" xr3:uid="{870EBD19-DC72-4312-B209-C8AADE869148}" name="Cum. Undone hrs" dataDxfId="106">
      <calculatedColumnFormula>SUM($G$9:G9)</calculatedColumnFormula>
    </tableColumn>
    <tableColumn id="27" xr3:uid="{2C857C23-47AE-4F9C-AA57-E6F2EC1B8477}" name="Undone hrs" dataDxfId="105">
      <calculatedColumnFormula>IF(Master_Data[[#This Row],[Lectures]]="D","",Master_Data[[#This Row],[Duration (hh:mm)]])</calculatedColumnFormula>
    </tableColumn>
    <tableColumn id="1" xr3:uid="{00000000-0010-0000-0000-000001000000}" name="Subject" dataDxfId="104"/>
    <tableColumn id="2" xr3:uid="{00000000-0010-0000-0000-000002000000}" name="Reading" dataDxfId="103"/>
    <tableColumn id="24" xr3:uid="{12F2DE11-D6A3-41B2-B62E-C51E27851BC0}" name="Changes" dataDxfId="102"/>
    <tableColumn id="3" xr3:uid="{00000000-0010-0000-0000-000003000000}" name="Topic" dataDxfId="101"/>
    <tableColumn id="10" xr3:uid="{E77E6611-A311-4B18-AC1C-9DDFD2ABEF51}" name="No. of Chapters" dataDxfId="100"/>
    <tableColumn id="13" xr3:uid="{831F4477-25B4-4195-AB9B-0AADBF9D7D3E}" name="No. of LOS" dataDxfId="99"/>
    <tableColumn id="21" xr3:uid="{75701E24-4A87-4E0F-9D5A-73640F8E25C4}" name="Lengthy" dataDxfId="98"/>
    <tableColumn id="20" xr3:uid="{77CA19E4-4B02-44E6-B959-FD5250D705DD}" name="Numerical or Not" dataDxfId="97"/>
    <tableColumn id="19" xr3:uid="{2E72736C-C56E-4D52-B458-A87278BC9CE2}" name="Diff. Level" dataDxfId="96"/>
    <tableColumn id="22" xr3:uid="{BC8C5220-F4FC-4DDB-BF01-412D8FEECE86}" name="Confusing" dataDxfId="95"/>
    <tableColumn id="18" xr3:uid="{2E66286A-5B10-41F1-B2EC-C16040833BBF}" name="Imp. Level" dataDxfId="94"/>
    <tableColumn id="17" xr3:uid="{7EEA9AA8-4E26-4B33-AA7E-0D9AA4589720}" name="Reqd. Prac." dataDxfId="93"/>
    <tableColumn id="16" xr3:uid="{BD71F8AD-1CE1-4DAB-BF8A-6F05372A3D94}" name="Duration (hh:mm)" dataDxfId="92"/>
    <tableColumn id="15" xr3:uid="{14D87CA9-408F-464E-88DB-8BE470862CA1}" name="Cum. (%)" dataDxfId="91">
      <calculatedColumnFormula>(SUM($T$9:T9)/$T$4)*100</calculatedColumnFormula>
    </tableColumn>
    <tableColumn id="4" xr3:uid="{00000000-0010-0000-0000-000004000000}" name="Lectures" dataDxfId="90"/>
    <tableColumn id="5" xr3:uid="{00000000-0010-0000-0000-000005000000}" name="Self Study" dataDxfId="89"/>
    <tableColumn id="6" xr3:uid="{00000000-0010-0000-0000-000006000000}" name="Revision" dataDxfId="88"/>
    <tableColumn id="12" xr3:uid="{00000000-0010-0000-0000-00000C000000}" name="Prac. Book" dataDxfId="87"/>
    <tableColumn id="14" xr3:uid="{AEDD019D-42C9-488A-91CF-CB6B9FD52249}" name="GARP 10 Yr Papers" dataDxfId="86"/>
    <tableColumn id="7" xr3:uid="{00000000-0010-0000-0000-000007000000}" name="GARP EOC Ques." dataDxfId="85"/>
    <tableColumn id="25" xr3:uid="{960A4FD1-ACCA-4C3B-BB49-555780F1E120}" name="Confidence Level" dataDxfId="84"/>
    <tableColumn id="23" xr3:uid="{4F2FB2AB-1E57-49E4-A36E-C2AE4F7ECC88}" name="Notes to Yourself" dataDxfId="83"/>
    <tableColumn id="26" xr3:uid="{15012E93-27CD-479E-B748-1A0B33E38540}" name="Total weights" dataDxfId="82">
      <calculatedColumnFormula>R9/SUM($R$9:$R$65)</calculatedColumnFormula>
    </tableColumn>
    <tableColumn id="28" xr3:uid="{F75F033E-D2A5-4A49-AC71-603D263F625D}" name="Subjectwise weights" dataDxfId="81">
      <calculatedColumnFormula>Master_Data[[#This Row],[Imp. Level]]/SUMIF(Master_Data[Subject],Master_Data[[#This Row],[Subject]],Master_Data[Imp. Level])</calculatedColumnFormula>
    </tableColumn>
    <tableColumn id="29" xr3:uid="{4DCF2CFD-3233-40BF-995C-319D9E96ABF7}" name="Subjectwise weighted average" dataDxfId="80">
      <calculatedColumnFormula>Master_Data[[#This Row],[Subjectwise weights]]*Master_Data[[#This Row],[Confidence Level]]</calculatedColumnFormula>
    </tableColumn>
    <tableColumn id="31" xr3:uid="{44791B14-8EA4-4997-9F55-0F060C364CAA}" name="Practice" dataDxfId="79">
      <calculatedColumnFormula>IF(AND(Master_Data[[#This Row],[Prac. Book]]="D",Master_Data[[#This Row],[GARP EOC Ques.]]="D"),"D","U")</calculatedColumnFormula>
    </tableColumn>
    <tableColumn id="34" xr3:uid="{679C7012-AA95-4E12-BCFA-3A8F0884BA1B}" name="Extra Practice" dataDxfId="78">
      <calculatedColumnFormula>Master_Data[[#This Row],[GARP 10 Yr Papers]]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1"/>
  <sheetViews>
    <sheetView showGridLines="0" tabSelected="1" zoomScale="90" zoomScaleNormal="90" workbookViewId="0">
      <selection activeCell="F8" sqref="F8"/>
    </sheetView>
  </sheetViews>
  <sheetFormatPr defaultColWidth="8.7265625" defaultRowHeight="14" x14ac:dyDescent="0.3"/>
  <cols>
    <col min="1" max="1" width="3.7265625" style="32" customWidth="1"/>
    <col min="2" max="2" width="11.81640625" style="32" customWidth="1"/>
    <col min="3" max="3" width="16" style="32" customWidth="1"/>
    <col min="4" max="4" width="42.54296875" style="32" customWidth="1"/>
    <col min="5" max="5" width="34.453125" style="32" customWidth="1"/>
    <col min="6" max="6" width="39.54296875" style="32" customWidth="1"/>
    <col min="7" max="16384" width="8.7265625" style="32"/>
  </cols>
  <sheetData>
    <row r="1" spans="2:27" ht="6.75" customHeight="1" x14ac:dyDescent="0.3"/>
    <row r="2" spans="2:27" ht="30" customHeight="1" x14ac:dyDescent="0.3">
      <c r="B2" s="263" t="s">
        <v>145</v>
      </c>
      <c r="C2" s="263"/>
      <c r="D2" s="263"/>
      <c r="E2" s="263"/>
      <c r="F2" s="263"/>
      <c r="G2" s="49"/>
      <c r="H2" s="49"/>
      <c r="I2" s="49"/>
      <c r="J2" s="49"/>
      <c r="K2" s="49"/>
      <c r="L2" s="49"/>
      <c r="M2" s="49"/>
      <c r="N2" s="49"/>
      <c r="O2" s="49"/>
      <c r="P2" s="49"/>
      <c r="Q2" s="49"/>
      <c r="R2" s="49"/>
      <c r="S2" s="49"/>
      <c r="T2" s="49"/>
      <c r="U2" s="49"/>
      <c r="V2" s="49"/>
      <c r="W2" s="49"/>
      <c r="X2" s="49"/>
      <c r="Y2" s="49"/>
      <c r="Z2" s="49"/>
      <c r="AA2" s="49"/>
    </row>
    <row r="3" spans="2:27" ht="10" customHeight="1" x14ac:dyDescent="0.3"/>
    <row r="4" spans="2:27" s="20" customFormat="1" ht="21.75" customHeight="1" x14ac:dyDescent="0.35">
      <c r="D4" s="50"/>
      <c r="E4" s="258" t="s">
        <v>150</v>
      </c>
      <c r="F4" s="258"/>
      <c r="G4" s="50"/>
      <c r="H4" s="50"/>
      <c r="I4" s="50"/>
      <c r="J4" s="50"/>
      <c r="K4" s="51"/>
      <c r="L4" s="51"/>
      <c r="M4" s="51"/>
      <c r="N4" s="51"/>
      <c r="O4" s="51"/>
      <c r="P4" s="51"/>
      <c r="Q4" s="51"/>
      <c r="R4" s="51"/>
      <c r="S4" s="51"/>
    </row>
    <row r="5" spans="2:27" ht="8.25" customHeight="1" x14ac:dyDescent="0.3"/>
    <row r="6" spans="2:27" ht="18" x14ac:dyDescent="0.3">
      <c r="E6" s="61" t="s">
        <v>0</v>
      </c>
      <c r="F6" s="62" t="s">
        <v>149</v>
      </c>
      <c r="I6" s="128"/>
    </row>
    <row r="7" spans="2:27" ht="5.25" customHeight="1" x14ac:dyDescent="0.3">
      <c r="E7" s="52"/>
      <c r="F7" s="143"/>
    </row>
    <row r="8" spans="2:27" ht="19.5" customHeight="1" x14ac:dyDescent="0.3">
      <c r="E8" s="169" t="s">
        <v>2</v>
      </c>
      <c r="F8" s="170">
        <v>44845</v>
      </c>
    </row>
    <row r="9" spans="2:27" ht="19.5" customHeight="1" x14ac:dyDescent="0.3">
      <c r="E9" s="171" t="s">
        <v>1</v>
      </c>
      <c r="F9" s="172">
        <v>45615</v>
      </c>
    </row>
    <row r="11" spans="2:27" x14ac:dyDescent="0.3">
      <c r="B11" s="262"/>
      <c r="C11" s="262"/>
      <c r="D11" s="262"/>
    </row>
    <row r="12" spans="2:27" ht="6.65" customHeight="1" x14ac:dyDescent="0.3">
      <c r="B12" s="137"/>
      <c r="C12" s="137"/>
    </row>
    <row r="13" spans="2:27" s="138" customFormat="1" ht="25.5" x14ac:dyDescent="0.55000000000000004">
      <c r="B13" s="264" t="s">
        <v>28</v>
      </c>
      <c r="C13" s="264"/>
      <c r="D13" s="265"/>
      <c r="E13" s="265"/>
      <c r="F13" s="139" t="str">
        <f>'📝 Instructions'!E4&amp;" |Aswini Bajaj"</f>
        <v>FRM P-1 |Aswini Bajaj</v>
      </c>
    </row>
    <row r="14" spans="2:27" x14ac:dyDescent="0.3">
      <c r="C14" s="33"/>
    </row>
    <row r="15" spans="2:27" ht="42.65" customHeight="1" x14ac:dyDescent="0.6">
      <c r="B15" s="130"/>
      <c r="C15" s="130"/>
      <c r="D15" s="130"/>
      <c r="E15" s="130"/>
      <c r="F15" s="130"/>
    </row>
    <row r="16" spans="2:27" ht="44.5" customHeight="1" x14ac:dyDescent="0.6">
      <c r="B16" s="43"/>
      <c r="C16" s="43"/>
      <c r="D16" s="43"/>
      <c r="E16" s="43"/>
      <c r="F16" s="43"/>
    </row>
    <row r="17" spans="2:6" ht="25.5" x14ac:dyDescent="0.55000000000000004">
      <c r="B17" s="44"/>
      <c r="C17" s="45"/>
      <c r="D17" s="44"/>
      <c r="E17" s="44"/>
    </row>
    <row r="18" spans="2:6" ht="18.649999999999999" customHeight="1" x14ac:dyDescent="0.55000000000000004">
      <c r="B18" s="44"/>
      <c r="C18" s="45"/>
      <c r="D18" s="44"/>
      <c r="E18" s="44"/>
    </row>
    <row r="19" spans="2:6" ht="18" x14ac:dyDescent="0.3">
      <c r="B19" s="142" t="s">
        <v>26</v>
      </c>
      <c r="C19" s="142" t="s">
        <v>27</v>
      </c>
      <c r="D19" s="261" t="s">
        <v>28</v>
      </c>
      <c r="E19" s="261"/>
      <c r="F19" s="261"/>
    </row>
    <row r="20" spans="2:6" ht="59.15" customHeight="1" x14ac:dyDescent="0.3">
      <c r="B20" s="131">
        <v>1</v>
      </c>
      <c r="C20" s="132" t="s">
        <v>11</v>
      </c>
      <c r="D20" s="259" t="s">
        <v>147</v>
      </c>
      <c r="E20" s="259"/>
      <c r="F20" s="260"/>
    </row>
    <row r="21" spans="2:6" ht="42" customHeight="1" x14ac:dyDescent="0.3">
      <c r="B21" s="131">
        <v>2</v>
      </c>
      <c r="C21" s="132" t="str">
        <f>Master_Data[[#Headers],[Schedule]]</f>
        <v>Schedule</v>
      </c>
      <c r="D21" s="259" t="s">
        <v>151</v>
      </c>
      <c r="E21" s="259"/>
      <c r="F21" s="260"/>
    </row>
    <row r="22" spans="2:6" ht="42" customHeight="1" x14ac:dyDescent="0.3">
      <c r="B22" s="133">
        <v>3</v>
      </c>
      <c r="C22" s="134" t="s">
        <v>3</v>
      </c>
      <c r="D22" s="259" t="s">
        <v>32</v>
      </c>
      <c r="E22" s="259"/>
      <c r="F22" s="260"/>
    </row>
    <row r="23" spans="2:6" ht="25.5" customHeight="1" x14ac:dyDescent="0.3">
      <c r="B23" s="135">
        <v>4</v>
      </c>
      <c r="C23" s="136" t="s">
        <v>4</v>
      </c>
      <c r="D23" s="259" t="s">
        <v>66</v>
      </c>
      <c r="E23" s="259"/>
      <c r="F23" s="260"/>
    </row>
    <row r="24" spans="2:6" ht="42" customHeight="1" x14ac:dyDescent="0.3">
      <c r="B24" s="133">
        <v>5</v>
      </c>
      <c r="C24" s="134" t="s">
        <v>5</v>
      </c>
      <c r="D24" s="259" t="s">
        <v>79</v>
      </c>
      <c r="E24" s="259"/>
      <c r="F24" s="260"/>
    </row>
    <row r="25" spans="2:6" ht="49.5" customHeight="1" x14ac:dyDescent="0.3">
      <c r="B25" s="135">
        <v>6</v>
      </c>
      <c r="C25" s="136" t="s">
        <v>65</v>
      </c>
      <c r="D25" s="259" t="s">
        <v>229</v>
      </c>
      <c r="E25" s="259"/>
      <c r="F25" s="260"/>
    </row>
    <row r="26" spans="2:6" ht="29.15" customHeight="1" x14ac:dyDescent="0.3">
      <c r="B26" s="133">
        <v>7</v>
      </c>
      <c r="C26" s="134" t="s">
        <v>85</v>
      </c>
      <c r="D26" s="259" t="s">
        <v>82</v>
      </c>
      <c r="E26" s="259"/>
      <c r="F26" s="260"/>
    </row>
    <row r="27" spans="2:6" ht="42" customHeight="1" x14ac:dyDescent="0.3">
      <c r="B27" s="135">
        <v>8</v>
      </c>
      <c r="C27" s="136" t="s">
        <v>142</v>
      </c>
      <c r="D27" s="259" t="s">
        <v>152</v>
      </c>
      <c r="E27" s="259"/>
      <c r="F27" s="260"/>
    </row>
    <row r="28" spans="2:6" ht="42" customHeight="1" x14ac:dyDescent="0.3">
      <c r="B28" s="133">
        <v>9</v>
      </c>
      <c r="C28" s="134" t="s">
        <v>62</v>
      </c>
      <c r="D28" s="259" t="s">
        <v>78</v>
      </c>
      <c r="E28" s="259"/>
      <c r="F28" s="260"/>
    </row>
    <row r="29" spans="2:6" ht="72" customHeight="1" x14ac:dyDescent="0.3">
      <c r="B29" s="135">
        <v>10</v>
      </c>
      <c r="C29" s="136" t="s">
        <v>63</v>
      </c>
      <c r="D29" s="259" t="s">
        <v>80</v>
      </c>
      <c r="E29" s="259"/>
      <c r="F29" s="260"/>
    </row>
    <row r="30" spans="2:6" ht="75.650000000000006" customHeight="1" x14ac:dyDescent="0.3">
      <c r="B30" s="133">
        <v>11</v>
      </c>
      <c r="C30" s="134" t="s">
        <v>143</v>
      </c>
      <c r="D30" s="259" t="s">
        <v>77</v>
      </c>
      <c r="E30" s="259"/>
      <c r="F30" s="260"/>
    </row>
    <row r="31" spans="2:6" ht="187.5" customHeight="1" x14ac:dyDescent="0.3">
      <c r="B31" s="135">
        <v>12</v>
      </c>
      <c r="C31" s="136" t="s">
        <v>64</v>
      </c>
      <c r="D31" s="259" t="s">
        <v>153</v>
      </c>
      <c r="E31" s="259"/>
      <c r="F31" s="260"/>
    </row>
    <row r="32" spans="2:6" ht="73" customHeight="1" x14ac:dyDescent="0.3">
      <c r="B32" s="133">
        <v>13</v>
      </c>
      <c r="C32" s="134" t="s">
        <v>29</v>
      </c>
      <c r="D32" s="259" t="s">
        <v>219</v>
      </c>
      <c r="E32" s="259"/>
      <c r="F32" s="260"/>
    </row>
    <row r="33" spans="2:6" ht="42" customHeight="1" x14ac:dyDescent="0.3">
      <c r="B33" s="135">
        <v>14</v>
      </c>
      <c r="C33" s="136" t="s">
        <v>25</v>
      </c>
      <c r="D33" s="259" t="s">
        <v>154</v>
      </c>
      <c r="E33" s="259"/>
      <c r="F33" s="260"/>
    </row>
    <row r="34" spans="2:6" ht="58.5" customHeight="1" x14ac:dyDescent="0.3">
      <c r="B34" s="133">
        <v>15</v>
      </c>
      <c r="C34" s="134" t="s">
        <v>22</v>
      </c>
      <c r="D34" s="259" t="s">
        <v>155</v>
      </c>
      <c r="E34" s="259"/>
      <c r="F34" s="260"/>
    </row>
    <row r="35" spans="2:6" ht="56.5" customHeight="1" x14ac:dyDescent="0.3">
      <c r="B35" s="135">
        <v>16</v>
      </c>
      <c r="C35" s="136" t="s">
        <v>23</v>
      </c>
      <c r="D35" s="259" t="s">
        <v>33</v>
      </c>
      <c r="E35" s="259"/>
      <c r="F35" s="260"/>
    </row>
    <row r="36" spans="2:6" ht="58.5" customHeight="1" x14ac:dyDescent="0.3">
      <c r="B36" s="133">
        <v>17</v>
      </c>
      <c r="C36" s="134" t="s">
        <v>159</v>
      </c>
      <c r="D36" s="259" t="s">
        <v>156</v>
      </c>
      <c r="E36" s="259"/>
      <c r="F36" s="260"/>
    </row>
    <row r="37" spans="2:6" ht="54" customHeight="1" x14ac:dyDescent="0.3">
      <c r="B37" s="135">
        <v>18</v>
      </c>
      <c r="C37" s="134" t="s">
        <v>160</v>
      </c>
      <c r="D37" s="259" t="s">
        <v>157</v>
      </c>
      <c r="E37" s="259"/>
      <c r="F37" s="260"/>
    </row>
    <row r="38" spans="2:6" ht="42" customHeight="1" x14ac:dyDescent="0.3">
      <c r="B38" s="133">
        <v>19</v>
      </c>
      <c r="C38" s="134" t="s">
        <v>24</v>
      </c>
      <c r="D38" s="259" t="s">
        <v>34</v>
      </c>
      <c r="E38" s="259"/>
      <c r="F38" s="260"/>
    </row>
    <row r="39" spans="2:6" ht="42" customHeight="1" x14ac:dyDescent="0.3">
      <c r="B39" s="135">
        <v>20</v>
      </c>
      <c r="C39" s="134" t="s">
        <v>161</v>
      </c>
      <c r="D39" s="259" t="s">
        <v>158</v>
      </c>
      <c r="E39" s="259"/>
      <c r="F39" s="260"/>
    </row>
    <row r="40" spans="2:6" ht="42" customHeight="1" x14ac:dyDescent="0.3">
      <c r="B40" s="133">
        <v>21</v>
      </c>
      <c r="C40" s="136" t="s">
        <v>96</v>
      </c>
      <c r="D40" s="259" t="s">
        <v>141</v>
      </c>
      <c r="E40" s="259"/>
      <c r="F40" s="260"/>
    </row>
    <row r="41" spans="2:6" ht="48.65" customHeight="1" x14ac:dyDescent="0.3">
      <c r="B41" s="133">
        <v>22</v>
      </c>
      <c r="C41" s="134" t="s">
        <v>83</v>
      </c>
      <c r="D41" s="259" t="s">
        <v>144</v>
      </c>
      <c r="E41" s="259"/>
      <c r="F41" s="260"/>
    </row>
  </sheetData>
  <sheetProtection algorithmName="SHA-512" hashValue="gIufTzzgv6IWZ8IMOG04KV/t1VmM3akQ1wRTK5OnY4Lwm4IhZ3Ldz58cI7WEJ4Aarsp9LLFE1kqe3eb49L+ioA==" saltValue="P+wxI7d3NHrnRmTVh782Iw==" spinCount="100000" sheet="1" selectLockedCells="1"/>
  <mergeCells count="28">
    <mergeCell ref="D40:F40"/>
    <mergeCell ref="D41:F41"/>
    <mergeCell ref="D24:F24"/>
    <mergeCell ref="D32:F32"/>
    <mergeCell ref="D33:F33"/>
    <mergeCell ref="D34:F34"/>
    <mergeCell ref="D35:F35"/>
    <mergeCell ref="D30:F30"/>
    <mergeCell ref="D31:F31"/>
    <mergeCell ref="D29:F29"/>
    <mergeCell ref="D28:F28"/>
    <mergeCell ref="D27:F27"/>
    <mergeCell ref="D25:F25"/>
    <mergeCell ref="D26:F26"/>
    <mergeCell ref="D36:F36"/>
    <mergeCell ref="D37:F37"/>
    <mergeCell ref="D38:F38"/>
    <mergeCell ref="D39:F39"/>
    <mergeCell ref="D22:F22"/>
    <mergeCell ref="D23:F23"/>
    <mergeCell ref="B13:C13"/>
    <mergeCell ref="D21:F21"/>
    <mergeCell ref="D13:E13"/>
    <mergeCell ref="E4:F4"/>
    <mergeCell ref="D20:F20"/>
    <mergeCell ref="D19:F19"/>
    <mergeCell ref="B11:D11"/>
    <mergeCell ref="B2:F2"/>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AH65"/>
  <sheetViews>
    <sheetView showGridLines="0" zoomScale="80" zoomScaleNormal="80" workbookViewId="0">
      <selection activeCell="V9" sqref="V9"/>
    </sheetView>
  </sheetViews>
  <sheetFormatPr defaultColWidth="8.81640625" defaultRowHeight="14" x14ac:dyDescent="0.3"/>
  <cols>
    <col min="1" max="1" width="0.54296875" style="32" customWidth="1"/>
    <col min="2" max="2" width="6.453125" style="32" customWidth="1"/>
    <col min="3" max="3" width="9.54296875" style="33" customWidth="1"/>
    <col min="4" max="5" width="10.81640625" style="32" hidden="1" customWidth="1"/>
    <col min="6" max="6" width="8" style="32" hidden="1" customWidth="1"/>
    <col min="7" max="7" width="9.26953125" style="32" hidden="1" customWidth="1"/>
    <col min="8" max="8" width="11.81640625" style="33" customWidth="1"/>
    <col min="9" max="9" width="8.81640625" style="32" customWidth="1"/>
    <col min="10" max="10" width="8.81640625" style="32" hidden="1" customWidth="1"/>
    <col min="11" max="11" width="32.453125" style="33" customWidth="1"/>
    <col min="12" max="12" width="10.81640625" style="33" hidden="1" customWidth="1"/>
    <col min="13" max="13" width="6.1796875" style="53" customWidth="1"/>
    <col min="14" max="19" width="8.7265625" style="53" customWidth="1"/>
    <col min="20" max="20" width="9.81640625" style="32" customWidth="1"/>
    <col min="21" max="21" width="8.1796875" style="32" bestFit="1" customWidth="1"/>
    <col min="22" max="22" width="8.7265625" style="32" customWidth="1"/>
    <col min="23" max="23" width="6.81640625" style="32" bestFit="1" customWidth="1"/>
    <col min="24" max="24" width="8.54296875" style="32" customWidth="1"/>
    <col min="25" max="25" width="6" style="32" customWidth="1"/>
    <col min="26" max="27" width="10.26953125" style="32" customWidth="1"/>
    <col min="28" max="28" width="7.7265625" style="32" customWidth="1"/>
    <col min="29" max="29" width="40" style="32" customWidth="1"/>
    <col min="30" max="31" width="8.81640625" style="32" hidden="1" customWidth="1"/>
    <col min="32" max="32" width="11.453125" style="32" hidden="1" customWidth="1"/>
    <col min="33" max="34" width="8.81640625" style="32" hidden="1" customWidth="1"/>
    <col min="35" max="16384" width="8.81640625" style="32"/>
  </cols>
  <sheetData>
    <row r="2" spans="1:34" ht="30" customHeight="1" x14ac:dyDescent="0.55000000000000004">
      <c r="A2" s="55"/>
      <c r="B2" s="67" t="s">
        <v>44</v>
      </c>
      <c r="C2" s="163"/>
      <c r="D2" s="63"/>
      <c r="E2" s="63"/>
      <c r="F2" s="63"/>
      <c r="G2" s="63"/>
      <c r="H2" s="63"/>
      <c r="I2" s="64"/>
      <c r="J2" s="64"/>
      <c r="K2" s="64"/>
      <c r="L2" s="64"/>
      <c r="M2" s="64"/>
      <c r="N2" s="64"/>
      <c r="O2" s="64"/>
      <c r="P2" s="64"/>
      <c r="Q2" s="64"/>
      <c r="R2" s="64"/>
      <c r="S2" s="64"/>
      <c r="T2" s="64"/>
      <c r="U2" s="64"/>
      <c r="V2" s="64"/>
      <c r="W2" s="64"/>
      <c r="X2" s="64"/>
      <c r="Y2" s="65"/>
      <c r="Z2" s="65"/>
      <c r="AA2" s="65"/>
      <c r="AB2" s="65" t="str">
        <f>'📝 Instructions'!E4&amp;" |Aswini Bajaj"</f>
        <v>FRM P-1 |Aswini Bajaj</v>
      </c>
    </row>
    <row r="3" spans="1:34" ht="11.25" customHeight="1" x14ac:dyDescent="0.3">
      <c r="B3" s="54"/>
      <c r="C3" s="164"/>
      <c r="D3" s="54"/>
      <c r="E3" s="54"/>
      <c r="F3" s="54"/>
      <c r="G3" s="54"/>
      <c r="H3" s="54"/>
      <c r="I3" s="54"/>
      <c r="J3" s="54"/>
    </row>
    <row r="4" spans="1:34" ht="20.149999999999999" customHeight="1" x14ac:dyDescent="0.3">
      <c r="B4" s="266" t="s">
        <v>93</v>
      </c>
      <c r="C4" s="266"/>
      <c r="D4" s="266"/>
      <c r="E4" s="266"/>
      <c r="F4" s="266"/>
      <c r="G4" s="266"/>
      <c r="H4" s="266"/>
      <c r="I4" s="266"/>
      <c r="J4" s="266"/>
      <c r="K4" s="266"/>
      <c r="L4" s="266"/>
      <c r="M4" s="266"/>
      <c r="N4" s="266"/>
      <c r="O4" s="266"/>
      <c r="P4" s="266"/>
      <c r="Q4" s="266"/>
      <c r="R4" s="267" t="s">
        <v>7</v>
      </c>
      <c r="S4" s="268"/>
      <c r="T4" s="37">
        <f>SUM(Master_Data[Duration (hh:mm)])</f>
        <v>8.9986111111111082</v>
      </c>
      <c r="U4" s="38">
        <v>1</v>
      </c>
      <c r="V4" s="39">
        <f>SUM(Master_Data[No. of Chapters])</f>
        <v>63</v>
      </c>
      <c r="W4" s="39">
        <f>SUM(Master_Data[No. of Chapters])</f>
        <v>63</v>
      </c>
      <c r="X4" s="39">
        <f>SUM(Master_Data[No. of Chapters])</f>
        <v>63</v>
      </c>
      <c r="Y4" s="39">
        <f>SUM(Master_Data[No. of Chapters])</f>
        <v>63</v>
      </c>
      <c r="Z4" s="39">
        <f>SUM(Master_Data[No. of Chapters])</f>
        <v>63</v>
      </c>
      <c r="AA4" s="39">
        <f>SUM(Master_Data[No. of Chapters])</f>
        <v>63</v>
      </c>
      <c r="AB4" s="39">
        <v>5</v>
      </c>
      <c r="AD4" s="60"/>
    </row>
    <row r="5" spans="1:34" ht="20.149999999999999" customHeight="1" x14ac:dyDescent="0.3">
      <c r="B5" s="266"/>
      <c r="C5" s="266"/>
      <c r="D5" s="266"/>
      <c r="E5" s="266"/>
      <c r="F5" s="266"/>
      <c r="G5" s="266"/>
      <c r="H5" s="266"/>
      <c r="I5" s="266"/>
      <c r="J5" s="266"/>
      <c r="K5" s="266"/>
      <c r="L5" s="266"/>
      <c r="M5" s="266"/>
      <c r="N5" s="266"/>
      <c r="O5" s="266"/>
      <c r="P5" s="266"/>
      <c r="Q5" s="266"/>
      <c r="R5" s="267" t="s">
        <v>31</v>
      </c>
      <c r="S5" s="268"/>
      <c r="T5" s="37">
        <f>SUMIF(Master_Data[Lectures],"d",Master_Data[Duration (hh:mm)])</f>
        <v>0</v>
      </c>
      <c r="U5" s="38">
        <f>T5/T4</f>
        <v>0</v>
      </c>
      <c r="V5" s="40">
        <f>SUMIFS(Master_Data[No. of Chapters],Master_Data[Lectures],"d")</f>
        <v>0</v>
      </c>
      <c r="W5" s="40">
        <f>SUMIFS(Master_Data[No. of Chapters],Master_Data[Self Study],"d")</f>
        <v>0</v>
      </c>
      <c r="X5" s="40">
        <f>SUMIFS(Master_Data[No. of Chapters],Master_Data[Revision],"d")</f>
        <v>0</v>
      </c>
      <c r="Y5" s="40">
        <f>SUMIFS(Master_Data[No. of Chapters],Master_Data[Prac. Book],"d")</f>
        <v>0</v>
      </c>
      <c r="Z5" s="40">
        <f>SUMIFS(Master_Data[No. of Chapters],Master_Data[GARP 10 Yr Papers],"d")</f>
        <v>0</v>
      </c>
      <c r="AA5" s="40">
        <f>SUMIFS(Master_Data[No. of Chapters],Master_Data[GARP EOC Ques.],"d")</f>
        <v>0</v>
      </c>
      <c r="AB5" s="40">
        <f>SUMPRODUCT(Master_Data[Confidence Level],Master_Data[Total weights])</f>
        <v>2.4819819819819804</v>
      </c>
      <c r="AD5" s="60"/>
    </row>
    <row r="6" spans="1:34" ht="20.149999999999999" customHeight="1" x14ac:dyDescent="0.3">
      <c r="B6" s="56"/>
      <c r="C6" s="165"/>
      <c r="D6" s="56"/>
      <c r="E6" s="56"/>
      <c r="F6" s="56"/>
      <c r="G6" s="56"/>
      <c r="H6" s="56"/>
      <c r="I6" s="56"/>
      <c r="J6" s="54"/>
      <c r="K6" s="57" t="s">
        <v>84</v>
      </c>
      <c r="L6" s="57"/>
      <c r="M6" s="58">
        <f>AVERAGE(Master_Data[No. of LOS])</f>
        <v>8.6140350877192979</v>
      </c>
      <c r="N6" s="58">
        <f>AVERAGE(Master_Data[Lengthy])</f>
        <v>3.2280701754385963</v>
      </c>
      <c r="O6" s="58">
        <f>AVERAGE(Master_Data[Numerical or Not])</f>
        <v>2.9298245614035086</v>
      </c>
      <c r="P6" s="58">
        <f>AVERAGE(Master_Data[Diff. Level])</f>
        <v>3.807017543859649</v>
      </c>
      <c r="Q6" s="58">
        <f>AVERAGE(Master_Data[Confusing])</f>
        <v>4.2105263157894735</v>
      </c>
      <c r="R6" s="58">
        <f>AVERAGE(Master_Data[Imp. Level])</f>
        <v>3.8947368421052633</v>
      </c>
      <c r="S6" s="58">
        <f>AVERAGE(Master_Data[Reqd. Prac.])</f>
        <v>4.0175438596491224</v>
      </c>
      <c r="T6" s="59">
        <f>AVERAGE(Master_Data[Duration (hh:mm)])</f>
        <v>0.15787037037037033</v>
      </c>
      <c r="W6" s="46"/>
    </row>
    <row r="7" spans="1:34" ht="20.149999999999999" customHeight="1" x14ac:dyDescent="0.3">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
      <c r="AE7" s="1"/>
      <c r="AF7" s="1"/>
    </row>
    <row r="8" spans="1:34" s="20" customFormat="1" ht="46.5" x14ac:dyDescent="0.35">
      <c r="B8" s="66" t="s">
        <v>11</v>
      </c>
      <c r="C8" s="66" t="s">
        <v>126</v>
      </c>
      <c r="D8" s="66" t="s">
        <v>115</v>
      </c>
      <c r="E8" s="66" t="s">
        <v>217</v>
      </c>
      <c r="F8" s="66" t="s">
        <v>216</v>
      </c>
      <c r="G8" s="66" t="s">
        <v>215</v>
      </c>
      <c r="H8" s="66" t="s">
        <v>3</v>
      </c>
      <c r="I8" s="66" t="s">
        <v>4</v>
      </c>
      <c r="J8" s="8" t="s">
        <v>94</v>
      </c>
      <c r="K8" s="8" t="s">
        <v>5</v>
      </c>
      <c r="L8" s="8" t="s">
        <v>136</v>
      </c>
      <c r="M8" s="8" t="s">
        <v>65</v>
      </c>
      <c r="N8" s="8" t="s">
        <v>85</v>
      </c>
      <c r="O8" s="8" t="s">
        <v>86</v>
      </c>
      <c r="P8" s="8" t="s">
        <v>87</v>
      </c>
      <c r="Q8" s="8" t="s">
        <v>63</v>
      </c>
      <c r="R8" s="8" t="s">
        <v>88</v>
      </c>
      <c r="S8" s="8" t="s">
        <v>89</v>
      </c>
      <c r="T8" s="8" t="s">
        <v>29</v>
      </c>
      <c r="U8" s="8" t="s">
        <v>90</v>
      </c>
      <c r="V8" s="8" t="s">
        <v>22</v>
      </c>
      <c r="W8" s="8" t="s">
        <v>23</v>
      </c>
      <c r="X8" s="8" t="s">
        <v>24</v>
      </c>
      <c r="Y8" s="8" t="s">
        <v>91</v>
      </c>
      <c r="Z8" s="8" t="s">
        <v>206</v>
      </c>
      <c r="AA8" s="8" t="s">
        <v>207</v>
      </c>
      <c r="AB8" s="8" t="s">
        <v>96</v>
      </c>
      <c r="AC8" s="8" t="s">
        <v>83</v>
      </c>
      <c r="AD8" s="8" t="s">
        <v>99</v>
      </c>
      <c r="AE8" s="8" t="s">
        <v>100</v>
      </c>
      <c r="AF8" s="8" t="s">
        <v>101</v>
      </c>
      <c r="AG8" s="8" t="s">
        <v>18</v>
      </c>
      <c r="AH8" s="8" t="s">
        <v>97</v>
      </c>
    </row>
    <row r="9" spans="1:34" ht="27" customHeight="1" x14ac:dyDescent="0.3">
      <c r="B9" s="3">
        <v>1</v>
      </c>
      <c r="C9" s="166" t="str">
        <f ca="1">IF(Master_Data[[#This Row],[Column1]]="Done","",IF(Master_Data[[#This Row],[Column1]]=MIN(Master_Data[Column1]),"Current Week",CONCATENATE("Week ",Master_Data[[#This Row],[Column1]])))</f>
        <v>Current Week</v>
      </c>
      <c r="D9" s="3">
        <f ca="1">IF(Master_Data[[#This Row],[Cum. Undone hrs]]=0,"Done",ROUNDUP(Master_Data[[#This Row],[Cum. Undone hrs]]/Working!$C$8,0))</f>
        <v>4</v>
      </c>
      <c r="E9" s="3" t="e">
        <f ca="1">IF(OR(D9=D8,D9=D8+1),Master_Data[[#This Row],[Column1]],D9-1)</f>
        <v>#VALUE!</v>
      </c>
      <c r="F9" s="11">
        <f>SUM($G$9:G9)</f>
        <v>0.95625000000000004</v>
      </c>
      <c r="G9" s="256">
        <f>IF(Master_Data[[#This Row],[Lectures]]="D","",Master_Data[[#This Row],[Duration (hh:mm)]])</f>
        <v>0.95625000000000004</v>
      </c>
      <c r="H9" s="2" t="s">
        <v>162</v>
      </c>
      <c r="I9" s="2" t="s">
        <v>220</v>
      </c>
      <c r="J9" s="2" t="s">
        <v>95</v>
      </c>
      <c r="K9" s="36" t="s">
        <v>222</v>
      </c>
      <c r="L9" s="257">
        <v>5</v>
      </c>
      <c r="M9" s="12">
        <v>37</v>
      </c>
      <c r="N9" s="35">
        <v>3</v>
      </c>
      <c r="O9" s="35">
        <v>5</v>
      </c>
      <c r="P9" s="35">
        <v>4</v>
      </c>
      <c r="Q9" s="35">
        <v>4</v>
      </c>
      <c r="R9" s="35">
        <v>4</v>
      </c>
      <c r="S9" s="35">
        <v>4</v>
      </c>
      <c r="T9" s="254">
        <v>0.95625000000000004</v>
      </c>
      <c r="U9" s="34">
        <f>(SUM($T$9:T9)/$T$4)*100</f>
        <v>10.626639913566912</v>
      </c>
      <c r="V9" s="19" t="s">
        <v>6</v>
      </c>
      <c r="W9" s="19" t="s">
        <v>6</v>
      </c>
      <c r="X9" s="19" t="s">
        <v>6</v>
      </c>
      <c r="Y9" s="19" t="s">
        <v>6</v>
      </c>
      <c r="Z9" s="19" t="s">
        <v>6</v>
      </c>
      <c r="AA9" s="19" t="s">
        <v>6</v>
      </c>
      <c r="AB9" s="146">
        <v>2</v>
      </c>
      <c r="AC9" s="13"/>
      <c r="AD9" s="161">
        <f>R9/SUM($R$9:$R$65)</f>
        <v>1.8018018018018018E-2</v>
      </c>
      <c r="AE9" s="162">
        <f>Master_Data[[#This Row],[Imp. Level]]/SUMIF(Master_Data[Subject],Master_Data[[#This Row],[Subject]],Master_Data[Imp. Level])</f>
        <v>0.10256410256410256</v>
      </c>
      <c r="AF9" s="144">
        <f>Master_Data[[#This Row],[Subjectwise weights]]*Master_Data[[#This Row],[Confidence Level]]</f>
        <v>0.20512820512820512</v>
      </c>
      <c r="AG9" s="145" t="str">
        <f>IF(AND(Master_Data[[#This Row],[Prac. Book]]="D",Master_Data[[#This Row],[GARP EOC Ques.]]="D"),"D","U")</f>
        <v>U</v>
      </c>
      <c r="AH9" s="255" t="str">
        <f>Master_Data[[#This Row],[GARP 10 Yr Papers]]</f>
        <v>U</v>
      </c>
    </row>
    <row r="10" spans="1:34" ht="27" customHeight="1" x14ac:dyDescent="0.3">
      <c r="B10" s="3">
        <v>2</v>
      </c>
      <c r="C10" s="166" t="str">
        <f ca="1">IF(Master_Data[[#This Row],[Column1]]="Done","",IF(Master_Data[[#This Row],[Column1]]=MIN(Master_Data[Column1]),"Current Week",CONCATENATE("Week ",Master_Data[[#This Row],[Column1]])))</f>
        <v>Current Week</v>
      </c>
      <c r="D10" s="3">
        <f ca="1">IF(Master_Data[[#This Row],[Cum. Undone hrs]]=0,"Done",ROUNDUP(Master_Data[[#This Row],[Cum. Undone hrs]]/Working!$C$8,0))</f>
        <v>4</v>
      </c>
      <c r="E10" s="3">
        <f ca="1">IF(OR(D10=D9,D10=D9+1),Master_Data[[#This Row],[Column1]],D10-1)</f>
        <v>4</v>
      </c>
      <c r="F10" s="11">
        <f>SUM($G$9:G10)</f>
        <v>1.2680555555555557</v>
      </c>
      <c r="G10" s="256">
        <f>IF(Master_Data[[#This Row],[Lectures]]="D","",Master_Data[[#This Row],[Duration (hh:mm)]])</f>
        <v>0.31180555555555556</v>
      </c>
      <c r="H10" s="2" t="s">
        <v>162</v>
      </c>
      <c r="I10" s="2">
        <v>17</v>
      </c>
      <c r="J10" s="2" t="s">
        <v>95</v>
      </c>
      <c r="K10" s="36" t="s">
        <v>9</v>
      </c>
      <c r="L10" s="257">
        <v>1</v>
      </c>
      <c r="M10" s="12">
        <v>8</v>
      </c>
      <c r="N10" s="35">
        <v>4</v>
      </c>
      <c r="O10" s="35">
        <v>5</v>
      </c>
      <c r="P10" s="35">
        <v>5</v>
      </c>
      <c r="Q10" s="35">
        <v>5</v>
      </c>
      <c r="R10" s="35">
        <v>4</v>
      </c>
      <c r="S10" s="35">
        <v>4</v>
      </c>
      <c r="T10" s="254">
        <v>0.31180555555555556</v>
      </c>
      <c r="U10" s="34">
        <f>(SUM($T$9:T10)/$T$4)*100</f>
        <v>14.091680814940583</v>
      </c>
      <c r="V10" s="19" t="s">
        <v>6</v>
      </c>
      <c r="W10" s="19" t="s">
        <v>6</v>
      </c>
      <c r="X10" s="19" t="s">
        <v>6</v>
      </c>
      <c r="Y10" s="19" t="s">
        <v>6</v>
      </c>
      <c r="Z10" s="19" t="s">
        <v>6</v>
      </c>
      <c r="AA10" s="19" t="s">
        <v>6</v>
      </c>
      <c r="AB10" s="146">
        <v>2</v>
      </c>
      <c r="AC10" s="13"/>
      <c r="AD10" s="161">
        <f>R10/SUM($R$9:$R$65)</f>
        <v>1.8018018018018018E-2</v>
      </c>
      <c r="AE10" s="162">
        <f>Master_Data[[#This Row],[Imp. Level]]/SUMIF(Master_Data[Subject],Master_Data[[#This Row],[Subject]],Master_Data[Imp. Level])</f>
        <v>0.10256410256410256</v>
      </c>
      <c r="AF10" s="144">
        <f>Master_Data[[#This Row],[Subjectwise weights]]*Master_Data[[#This Row],[Confidence Level]]</f>
        <v>0.20512820512820512</v>
      </c>
      <c r="AG10" s="145" t="str">
        <f>IF(AND(Master_Data[[#This Row],[Prac. Book]]="D",Master_Data[[#This Row],[GARP EOC Ques.]]="D"),"D","U")</f>
        <v>U</v>
      </c>
      <c r="AH10" s="255" t="str">
        <f>Master_Data[[#This Row],[GARP 10 Yr Papers]]</f>
        <v>U</v>
      </c>
    </row>
    <row r="11" spans="1:34" ht="27" customHeight="1" x14ac:dyDescent="0.3">
      <c r="B11" s="3">
        <v>3</v>
      </c>
      <c r="C11" s="166" t="str">
        <f ca="1">IF(Master_Data[[#This Row],[Column1]]="Done","",IF(Master_Data[[#This Row],[Column1]]=MIN(Master_Data[Column1]),"Current Week",CONCATENATE("Week ",Master_Data[[#This Row],[Column1]])))</f>
        <v>Week 5</v>
      </c>
      <c r="D11" s="3">
        <f ca="1">IF(Master_Data[[#This Row],[Cum. Undone hrs]]=0,"Done",ROUNDUP(Master_Data[[#This Row],[Cum. Undone hrs]]/Working!$C$8,0))</f>
        <v>5</v>
      </c>
      <c r="E11" s="3">
        <f ca="1">IF(OR(D11=D10,D11=D10+1),Master_Data[[#This Row],[Column1]],D11-1)</f>
        <v>5</v>
      </c>
      <c r="F11" s="11">
        <f>SUM($G$9:G11)</f>
        <v>1.3423611111111113</v>
      </c>
      <c r="G11" s="256">
        <f>IF(Master_Data[[#This Row],[Lectures]]="D","",Master_Data[[#This Row],[Duration (hh:mm)]])</f>
        <v>7.4305555555555555E-2</v>
      </c>
      <c r="H11" s="2" t="s">
        <v>163</v>
      </c>
      <c r="I11" s="2">
        <v>10</v>
      </c>
      <c r="J11" s="2" t="s">
        <v>95</v>
      </c>
      <c r="K11" s="36" t="s">
        <v>164</v>
      </c>
      <c r="L11" s="257">
        <v>1</v>
      </c>
      <c r="M11" s="12">
        <v>6</v>
      </c>
      <c r="N11" s="35">
        <v>2</v>
      </c>
      <c r="O11" s="35">
        <v>1</v>
      </c>
      <c r="P11" s="35">
        <v>4</v>
      </c>
      <c r="Q11" s="35">
        <v>4</v>
      </c>
      <c r="R11" s="35">
        <v>4</v>
      </c>
      <c r="S11" s="35">
        <v>4</v>
      </c>
      <c r="T11" s="254">
        <v>7.4305555555555555E-2</v>
      </c>
      <c r="U11" s="34">
        <f>(SUM($T$9:T11)/$T$4)*100</f>
        <v>14.917425528630968</v>
      </c>
      <c r="V11" s="19" t="s">
        <v>6</v>
      </c>
      <c r="W11" s="19" t="s">
        <v>6</v>
      </c>
      <c r="X11" s="19" t="s">
        <v>6</v>
      </c>
      <c r="Y11" s="19" t="s">
        <v>6</v>
      </c>
      <c r="Z11" s="19" t="s">
        <v>6</v>
      </c>
      <c r="AA11" s="19" t="s">
        <v>6</v>
      </c>
      <c r="AB11" s="146">
        <v>2</v>
      </c>
      <c r="AC11" s="13"/>
      <c r="AD11" s="161">
        <f>R11/SUM($R$9:$R$65)</f>
        <v>1.8018018018018018E-2</v>
      </c>
      <c r="AE11" s="162">
        <f>Master_Data[[#This Row],[Imp. Level]]/SUMIF(Master_Data[Subject],Master_Data[[#This Row],[Subject]],Master_Data[Imp. Level])</f>
        <v>0.10256410256410256</v>
      </c>
      <c r="AF11" s="144">
        <f>Master_Data[[#This Row],[Subjectwise weights]]*Master_Data[[#This Row],[Confidence Level]]</f>
        <v>0.20512820512820512</v>
      </c>
      <c r="AG11" s="145" t="str">
        <f>IF(AND(Master_Data[[#This Row],[Prac. Book]]="D",Master_Data[[#This Row],[GARP EOC Ques.]]="D"),"D","U")</f>
        <v>U</v>
      </c>
      <c r="AH11" s="255" t="str">
        <f>Master_Data[[#This Row],[GARP 10 Yr Papers]]</f>
        <v>U</v>
      </c>
    </row>
    <row r="12" spans="1:34" ht="27" customHeight="1" x14ac:dyDescent="0.3">
      <c r="B12" s="3">
        <v>4</v>
      </c>
      <c r="C12" s="166" t="str">
        <f ca="1">IF(Master_Data[[#This Row],[Column1]]="Done","",IF(Master_Data[[#This Row],[Column1]]=MIN(Master_Data[Column1]),"Current Week",CONCATENATE("Week ",Master_Data[[#This Row],[Column1]])))</f>
        <v>Week 5</v>
      </c>
      <c r="D12" s="3">
        <f ca="1">IF(Master_Data[[#This Row],[Cum. Undone hrs]]=0,"Done",ROUNDUP(Master_Data[[#This Row],[Cum. Undone hrs]]/Working!$C$8,0))</f>
        <v>5</v>
      </c>
      <c r="E12" s="3">
        <f ca="1">IF(OR(D12=D11,D12=D11+1),Master_Data[[#This Row],[Column1]],D12-1)</f>
        <v>5</v>
      </c>
      <c r="F12" s="11">
        <f>SUM($G$9:G12)</f>
        <v>1.4451388888888892</v>
      </c>
      <c r="G12" s="256">
        <f>IF(Master_Data[[#This Row],[Lectures]]="D","",Master_Data[[#This Row],[Duration (hh:mm)]])</f>
        <v>0.10277777777777777</v>
      </c>
      <c r="H12" s="2" t="s">
        <v>163</v>
      </c>
      <c r="I12" s="2">
        <v>4</v>
      </c>
      <c r="J12" s="2" t="s">
        <v>95</v>
      </c>
      <c r="K12" s="36" t="s">
        <v>165</v>
      </c>
      <c r="L12" s="257">
        <v>1</v>
      </c>
      <c r="M12" s="12">
        <v>4</v>
      </c>
      <c r="N12" s="35">
        <v>3</v>
      </c>
      <c r="O12" s="35">
        <v>1</v>
      </c>
      <c r="P12" s="35">
        <v>4</v>
      </c>
      <c r="Q12" s="35">
        <v>4</v>
      </c>
      <c r="R12" s="35">
        <v>4</v>
      </c>
      <c r="S12" s="35">
        <v>4</v>
      </c>
      <c r="T12" s="254">
        <v>0.10277777777777777</v>
      </c>
      <c r="U12" s="34">
        <f>(SUM($T$9:T12)/$T$4)*100</f>
        <v>16.059577095230754</v>
      </c>
      <c r="V12" s="19" t="s">
        <v>6</v>
      </c>
      <c r="W12" s="19" t="s">
        <v>6</v>
      </c>
      <c r="X12" s="19" t="s">
        <v>6</v>
      </c>
      <c r="Y12" s="19" t="s">
        <v>6</v>
      </c>
      <c r="Z12" s="19" t="s">
        <v>6</v>
      </c>
      <c r="AA12" s="19" t="s">
        <v>6</v>
      </c>
      <c r="AB12" s="146">
        <v>2</v>
      </c>
      <c r="AC12" s="13"/>
      <c r="AD12" s="161">
        <f>R12/SUM($R$9:$R$65)</f>
        <v>1.8018018018018018E-2</v>
      </c>
      <c r="AE12" s="162">
        <f>Master_Data[[#This Row],[Imp. Level]]/SUMIF(Master_Data[Subject],Master_Data[[#This Row],[Subject]],Master_Data[Imp. Level])</f>
        <v>0.10256410256410256</v>
      </c>
      <c r="AF12" s="144">
        <f>Master_Data[[#This Row],[Subjectwise weights]]*Master_Data[[#This Row],[Confidence Level]]</f>
        <v>0.20512820512820512</v>
      </c>
      <c r="AG12" s="145" t="str">
        <f>IF(AND(Master_Data[[#This Row],[Prac. Book]]="D",Master_Data[[#This Row],[GARP EOC Ques.]]="D"),"D","U")</f>
        <v>U</v>
      </c>
      <c r="AH12" s="255" t="str">
        <f>Master_Data[[#This Row],[GARP 10 Yr Papers]]</f>
        <v>U</v>
      </c>
    </row>
    <row r="13" spans="1:34" ht="27" customHeight="1" x14ac:dyDescent="0.3">
      <c r="B13" s="3">
        <v>5</v>
      </c>
      <c r="C13" s="166" t="str">
        <f ca="1">IF(Master_Data[[#This Row],[Column1]]="Done","",IF(Master_Data[[#This Row],[Column1]]=MIN(Master_Data[Column1]),"Current Week",CONCATENATE("Week ",Master_Data[[#This Row],[Column1]])))</f>
        <v>Week 5</v>
      </c>
      <c r="D13" s="3">
        <f ca="1">IF(Master_Data[[#This Row],[Cum. Undone hrs]]=0,"Done",ROUNDUP(Master_Data[[#This Row],[Cum. Undone hrs]]/Working!$C$8,0))</f>
        <v>5</v>
      </c>
      <c r="E13" s="3">
        <f ca="1">IF(OR(D13=D12,D13=D12+1),Master_Data[[#This Row],[Column1]],D13-1)</f>
        <v>5</v>
      </c>
      <c r="F13" s="11">
        <f>SUM($G$9:G13)</f>
        <v>1.5479166666666671</v>
      </c>
      <c r="G13" s="256">
        <f>IF(Master_Data[[#This Row],[Lectures]]="D","",Master_Data[[#This Row],[Duration (hh:mm)]])</f>
        <v>0.10277777777777777</v>
      </c>
      <c r="H13" s="2" t="s">
        <v>162</v>
      </c>
      <c r="I13" s="2">
        <v>18</v>
      </c>
      <c r="J13" s="2" t="s">
        <v>94</v>
      </c>
      <c r="K13" s="36" t="s">
        <v>166</v>
      </c>
      <c r="L13" s="257">
        <v>1</v>
      </c>
      <c r="M13" s="12">
        <v>8</v>
      </c>
      <c r="N13" s="35">
        <v>3</v>
      </c>
      <c r="O13" s="35">
        <v>5</v>
      </c>
      <c r="P13" s="35">
        <v>4</v>
      </c>
      <c r="Q13" s="35">
        <v>4</v>
      </c>
      <c r="R13" s="35">
        <v>3</v>
      </c>
      <c r="S13" s="35">
        <v>4</v>
      </c>
      <c r="T13" s="254">
        <v>0.10277777777777777</v>
      </c>
      <c r="U13" s="34">
        <f>(SUM($T$9:T13)/$T$4)*100</f>
        <v>17.20172866183054</v>
      </c>
      <c r="V13" s="19" t="s">
        <v>6</v>
      </c>
      <c r="W13" s="19" t="s">
        <v>6</v>
      </c>
      <c r="X13" s="19" t="s">
        <v>6</v>
      </c>
      <c r="Y13" s="19" t="s">
        <v>6</v>
      </c>
      <c r="Z13" s="19" t="s">
        <v>6</v>
      </c>
      <c r="AA13" s="19" t="s">
        <v>6</v>
      </c>
      <c r="AB13" s="146">
        <v>3</v>
      </c>
      <c r="AC13" s="13"/>
      <c r="AD13" s="161">
        <f>R13/SUM($R$9:$R$65)</f>
        <v>1.3513513513513514E-2</v>
      </c>
      <c r="AE13" s="162">
        <f>Master_Data[[#This Row],[Imp. Level]]/SUMIF(Master_Data[Subject],Master_Data[[#This Row],[Subject]],Master_Data[Imp. Level])</f>
        <v>7.6923076923076927E-2</v>
      </c>
      <c r="AF13" s="144">
        <f>Master_Data[[#This Row],[Subjectwise weights]]*Master_Data[[#This Row],[Confidence Level]]</f>
        <v>0.23076923076923078</v>
      </c>
      <c r="AG13" s="145" t="str">
        <f>IF(AND(Master_Data[[#This Row],[Prac. Book]]="D",Master_Data[[#This Row],[GARP EOC Ques.]]="D"),"D","U")</f>
        <v>U</v>
      </c>
      <c r="AH13" s="255" t="str">
        <f>Master_Data[[#This Row],[GARP 10 Yr Papers]]</f>
        <v>U</v>
      </c>
    </row>
    <row r="14" spans="1:34" ht="27" customHeight="1" x14ac:dyDescent="0.3">
      <c r="B14" s="3">
        <v>6</v>
      </c>
      <c r="C14" s="166" t="str">
        <f ca="1">IF(Master_Data[[#This Row],[Column1]]="Done","",IF(Master_Data[[#This Row],[Column1]]=MIN(Master_Data[Column1]),"Current Week",CONCATENATE("Week ",Master_Data[[#This Row],[Column1]])))</f>
        <v>Week 6</v>
      </c>
      <c r="D14" s="3">
        <f ca="1">IF(Master_Data[[#This Row],[Cum. Undone hrs]]=0,"Done",ROUNDUP(Master_Data[[#This Row],[Cum. Undone hrs]]/Working!$C$8,0))</f>
        <v>6</v>
      </c>
      <c r="E14" s="3">
        <f ca="1">IF(OR(D14=D13,D14=D13+1),Master_Data[[#This Row],[Column1]],D14-1)</f>
        <v>6</v>
      </c>
      <c r="F14" s="11">
        <f>SUM($G$9:G14)</f>
        <v>1.6458333333333337</v>
      </c>
      <c r="G14" s="256">
        <f>IF(Master_Data[[#This Row],[Lectures]]="D","",Master_Data[[#This Row],[Duration (hh:mm)]])</f>
        <v>9.7916666666666666E-2</v>
      </c>
      <c r="H14" s="2" t="s">
        <v>162</v>
      </c>
      <c r="I14" s="2">
        <v>19</v>
      </c>
      <c r="J14" s="2" t="s">
        <v>95</v>
      </c>
      <c r="K14" s="36" t="s">
        <v>167</v>
      </c>
      <c r="L14" s="257">
        <v>1</v>
      </c>
      <c r="M14" s="12">
        <v>5</v>
      </c>
      <c r="N14" s="35">
        <v>4</v>
      </c>
      <c r="O14" s="35">
        <v>4</v>
      </c>
      <c r="P14" s="35">
        <v>4</v>
      </c>
      <c r="Q14" s="35">
        <v>4</v>
      </c>
      <c r="R14" s="35">
        <v>4</v>
      </c>
      <c r="S14" s="35">
        <v>4</v>
      </c>
      <c r="T14" s="254">
        <v>9.7916666666666666E-2</v>
      </c>
      <c r="U14" s="34">
        <f>(SUM($T$9:T14)/$T$4)*100</f>
        <v>18.289859546226278</v>
      </c>
      <c r="V14" s="19" t="s">
        <v>6</v>
      </c>
      <c r="W14" s="19" t="s">
        <v>6</v>
      </c>
      <c r="X14" s="19" t="s">
        <v>6</v>
      </c>
      <c r="Y14" s="19" t="s">
        <v>6</v>
      </c>
      <c r="Z14" s="19" t="s">
        <v>6</v>
      </c>
      <c r="AA14" s="19" t="s">
        <v>6</v>
      </c>
      <c r="AB14" s="146">
        <v>3</v>
      </c>
      <c r="AC14" s="13"/>
      <c r="AD14" s="161">
        <f>R14/SUM($R$9:$R$65)</f>
        <v>1.8018018018018018E-2</v>
      </c>
      <c r="AE14" s="162">
        <f>Master_Data[[#This Row],[Imp. Level]]/SUMIF(Master_Data[Subject],Master_Data[[#This Row],[Subject]],Master_Data[Imp. Level])</f>
        <v>0.10256410256410256</v>
      </c>
      <c r="AF14" s="144">
        <f>Master_Data[[#This Row],[Subjectwise weights]]*Master_Data[[#This Row],[Confidence Level]]</f>
        <v>0.30769230769230771</v>
      </c>
      <c r="AG14" s="145" t="str">
        <f>IF(AND(Master_Data[[#This Row],[Prac. Book]]="D",Master_Data[[#This Row],[GARP EOC Ques.]]="D"),"D","U")</f>
        <v>U</v>
      </c>
      <c r="AH14" s="255" t="str">
        <f>Master_Data[[#This Row],[GARP 10 Yr Papers]]</f>
        <v>U</v>
      </c>
    </row>
    <row r="15" spans="1:34" ht="27" customHeight="1" x14ac:dyDescent="0.3">
      <c r="B15" s="3">
        <v>7</v>
      </c>
      <c r="C15" s="166" t="str">
        <f ca="1">IF(Master_Data[[#This Row],[Column1]]="Done","",IF(Master_Data[[#This Row],[Column1]]=MIN(Master_Data[Column1]),"Current Week",CONCATENATE("Week ",Master_Data[[#This Row],[Column1]])))</f>
        <v>Week 6</v>
      </c>
      <c r="D15" s="3">
        <f ca="1">IF(Master_Data[[#This Row],[Cum. Undone hrs]]=0,"Done",ROUNDUP(Master_Data[[#This Row],[Cum. Undone hrs]]/Working!$C$8,0))</f>
        <v>6</v>
      </c>
      <c r="E15" s="3">
        <f ca="1">IF(OR(D15=D14,D15=D14+1),Master_Data[[#This Row],[Column1]],D15-1)</f>
        <v>6</v>
      </c>
      <c r="F15" s="11">
        <f>SUM($G$9:G15)</f>
        <v>1.7159722222222227</v>
      </c>
      <c r="G15" s="256">
        <f>IF(Master_Data[[#This Row],[Lectures]]="D","",Master_Data[[#This Row],[Duration (hh:mm)]])</f>
        <v>7.013888888888889E-2</v>
      </c>
      <c r="H15" s="2" t="s">
        <v>162</v>
      </c>
      <c r="I15" s="2">
        <v>20</v>
      </c>
      <c r="J15" s="2" t="s">
        <v>95</v>
      </c>
      <c r="K15" s="36" t="s">
        <v>168</v>
      </c>
      <c r="L15" s="257">
        <v>1</v>
      </c>
      <c r="M15" s="12">
        <v>8</v>
      </c>
      <c r="N15" s="35">
        <v>3</v>
      </c>
      <c r="O15" s="35">
        <v>4</v>
      </c>
      <c r="P15" s="35">
        <v>5</v>
      </c>
      <c r="Q15" s="35">
        <v>5</v>
      </c>
      <c r="R15" s="35">
        <v>4</v>
      </c>
      <c r="S15" s="35">
        <v>4</v>
      </c>
      <c r="T15" s="254">
        <v>7.013888888888889E-2</v>
      </c>
      <c r="U15" s="34">
        <f>(SUM($T$9:T15)/$T$4)*100</f>
        <v>19.069300818027486</v>
      </c>
      <c r="V15" s="19" t="s">
        <v>6</v>
      </c>
      <c r="W15" s="19" t="s">
        <v>6</v>
      </c>
      <c r="X15" s="19" t="s">
        <v>6</v>
      </c>
      <c r="Y15" s="19" t="s">
        <v>6</v>
      </c>
      <c r="Z15" s="19" t="s">
        <v>6</v>
      </c>
      <c r="AA15" s="19" t="s">
        <v>6</v>
      </c>
      <c r="AB15" s="146">
        <v>2</v>
      </c>
      <c r="AC15" s="13"/>
      <c r="AD15" s="161">
        <f>R15/SUM($R$9:$R$65)</f>
        <v>1.8018018018018018E-2</v>
      </c>
      <c r="AE15" s="162">
        <f>Master_Data[[#This Row],[Imp. Level]]/SUMIF(Master_Data[Subject],Master_Data[[#This Row],[Subject]],Master_Data[Imp. Level])</f>
        <v>0.10256410256410256</v>
      </c>
      <c r="AF15" s="144">
        <f>Master_Data[[#This Row],[Subjectwise weights]]*Master_Data[[#This Row],[Confidence Level]]</f>
        <v>0.20512820512820512</v>
      </c>
      <c r="AG15" s="145" t="str">
        <f>IF(AND(Master_Data[[#This Row],[Prac. Book]]="D",Master_Data[[#This Row],[GARP EOC Ques.]]="D"),"D","U")</f>
        <v>U</v>
      </c>
      <c r="AH15" s="255" t="str">
        <f>Master_Data[[#This Row],[GARP 10 Yr Papers]]</f>
        <v>U</v>
      </c>
    </row>
    <row r="16" spans="1:34" ht="27" customHeight="1" x14ac:dyDescent="0.3">
      <c r="B16" s="3">
        <v>8</v>
      </c>
      <c r="C16" s="166" t="str">
        <f ca="1">IF(Master_Data[[#This Row],[Column1]]="Done","",IF(Master_Data[[#This Row],[Column1]]=MIN(Master_Data[Column1]),"Current Week",CONCATENATE("Week ",Master_Data[[#This Row],[Column1]])))</f>
        <v>Week 6</v>
      </c>
      <c r="D16" s="3">
        <f ca="1">IF(Master_Data[[#This Row],[Cum. Undone hrs]]=0,"Done",ROUNDUP(Master_Data[[#This Row],[Cum. Undone hrs]]/Working!$C$8,0))</f>
        <v>6</v>
      </c>
      <c r="E16" s="3">
        <f ca="1">IF(OR(D16=D15,D16=D15+1),Master_Data[[#This Row],[Column1]],D16-1)</f>
        <v>6</v>
      </c>
      <c r="F16" s="11">
        <f>SUM($G$9:G16)</f>
        <v>1.8027777777777783</v>
      </c>
      <c r="G16" s="256">
        <f>IF(Master_Data[[#This Row],[Lectures]]="D","",Master_Data[[#This Row],[Duration (hh:mm)]])</f>
        <v>8.6805555555555552E-2</v>
      </c>
      <c r="H16" s="2" t="s">
        <v>169</v>
      </c>
      <c r="I16" s="2">
        <v>27</v>
      </c>
      <c r="J16" s="2" t="s">
        <v>95</v>
      </c>
      <c r="K16" s="36" t="s">
        <v>170</v>
      </c>
      <c r="L16" s="257">
        <v>1</v>
      </c>
      <c r="M16" s="12">
        <v>8</v>
      </c>
      <c r="N16" s="35">
        <v>2</v>
      </c>
      <c r="O16" s="35">
        <v>1</v>
      </c>
      <c r="P16" s="35">
        <v>3</v>
      </c>
      <c r="Q16" s="35">
        <v>3</v>
      </c>
      <c r="R16" s="35">
        <v>3</v>
      </c>
      <c r="S16" s="35">
        <v>4</v>
      </c>
      <c r="T16" s="254">
        <v>8.6805555555555552E-2</v>
      </c>
      <c r="U16" s="34">
        <f>(SUM($T$9:T16)/$T$4)*100</f>
        <v>20.033955857385411</v>
      </c>
      <c r="V16" s="19" t="s">
        <v>6</v>
      </c>
      <c r="W16" s="19" t="s">
        <v>6</v>
      </c>
      <c r="X16" s="19" t="s">
        <v>6</v>
      </c>
      <c r="Y16" s="19" t="s">
        <v>6</v>
      </c>
      <c r="Z16" s="19" t="s">
        <v>6</v>
      </c>
      <c r="AA16" s="19" t="s">
        <v>6</v>
      </c>
      <c r="AB16" s="146">
        <v>2</v>
      </c>
      <c r="AC16" s="13"/>
      <c r="AD16" s="161">
        <f>R16/SUM($R$9:$R$65)</f>
        <v>1.3513513513513514E-2</v>
      </c>
      <c r="AE16" s="162">
        <f>Master_Data[[#This Row],[Imp. Level]]/SUMIF(Master_Data[Subject],Master_Data[[#This Row],[Subject]],Master_Data[Imp. Level])</f>
        <v>3.7499999999999999E-2</v>
      </c>
      <c r="AF16" s="144">
        <f>Master_Data[[#This Row],[Subjectwise weights]]*Master_Data[[#This Row],[Confidence Level]]</f>
        <v>7.4999999999999997E-2</v>
      </c>
      <c r="AG16" s="145" t="str">
        <f>IF(AND(Master_Data[[#This Row],[Prac. Book]]="D",Master_Data[[#This Row],[GARP EOC Ques.]]="D"),"D","U")</f>
        <v>U</v>
      </c>
      <c r="AH16" s="255" t="str">
        <f>Master_Data[[#This Row],[GARP 10 Yr Papers]]</f>
        <v>U</v>
      </c>
    </row>
    <row r="17" spans="2:34" ht="27" customHeight="1" x14ac:dyDescent="0.3">
      <c r="B17" s="3">
        <v>9</v>
      </c>
      <c r="C17" s="166" t="str">
        <f ca="1">IF(Master_Data[[#This Row],[Column1]]="Done","",IF(Master_Data[[#This Row],[Column1]]=MIN(Master_Data[Column1]),"Current Week",CONCATENATE("Week ",Master_Data[[#This Row],[Column1]])))</f>
        <v>Week 6</v>
      </c>
      <c r="D17" s="3">
        <f ca="1">IF(Master_Data[[#This Row],[Cum. Undone hrs]]=0,"Done",ROUNDUP(Master_Data[[#This Row],[Cum. Undone hrs]]/Working!$C$8,0))</f>
        <v>6</v>
      </c>
      <c r="E17" s="3">
        <f ca="1">IF(OR(D17=D16,D17=D16+1),Master_Data[[#This Row],[Column1]],D17-1)</f>
        <v>6</v>
      </c>
      <c r="F17" s="11">
        <f>SUM($G$9:G17)</f>
        <v>1.9041666666666672</v>
      </c>
      <c r="G17" s="256">
        <f>IF(Master_Data[[#This Row],[Lectures]]="D","",Master_Data[[#This Row],[Duration (hh:mm)]])</f>
        <v>0.10138888888888889</v>
      </c>
      <c r="H17" s="2" t="s">
        <v>169</v>
      </c>
      <c r="I17" s="2">
        <v>28</v>
      </c>
      <c r="J17" s="2" t="s">
        <v>95</v>
      </c>
      <c r="K17" s="36" t="s">
        <v>171</v>
      </c>
      <c r="L17" s="257">
        <v>1</v>
      </c>
      <c r="M17" s="12">
        <v>9</v>
      </c>
      <c r="N17" s="35">
        <v>3</v>
      </c>
      <c r="O17" s="35">
        <v>2</v>
      </c>
      <c r="P17" s="35">
        <v>3</v>
      </c>
      <c r="Q17" s="35">
        <v>4</v>
      </c>
      <c r="R17" s="35">
        <v>3</v>
      </c>
      <c r="S17" s="35">
        <v>4</v>
      </c>
      <c r="T17" s="254">
        <v>0.10138888888888889</v>
      </c>
      <c r="U17" s="34">
        <f>(SUM($T$9:T17)/$T$4)*100</f>
        <v>21.160672943355468</v>
      </c>
      <c r="V17" s="19" t="s">
        <v>6</v>
      </c>
      <c r="W17" s="19" t="s">
        <v>6</v>
      </c>
      <c r="X17" s="19" t="s">
        <v>6</v>
      </c>
      <c r="Y17" s="19" t="s">
        <v>6</v>
      </c>
      <c r="Z17" s="19" t="s">
        <v>6</v>
      </c>
      <c r="AA17" s="19" t="s">
        <v>6</v>
      </c>
      <c r="AB17" s="146">
        <v>3</v>
      </c>
      <c r="AC17" s="13"/>
      <c r="AD17" s="161">
        <f>R17/SUM($R$9:$R$65)</f>
        <v>1.3513513513513514E-2</v>
      </c>
      <c r="AE17" s="162">
        <f>Master_Data[[#This Row],[Imp. Level]]/SUMIF(Master_Data[Subject],Master_Data[[#This Row],[Subject]],Master_Data[Imp. Level])</f>
        <v>3.7499999999999999E-2</v>
      </c>
      <c r="AF17" s="144">
        <f>Master_Data[[#This Row],[Subjectwise weights]]*Master_Data[[#This Row],[Confidence Level]]</f>
        <v>0.11249999999999999</v>
      </c>
      <c r="AG17" s="145" t="str">
        <f>IF(AND(Master_Data[[#This Row],[Prac. Book]]="D",Master_Data[[#This Row],[GARP EOC Ques.]]="D"),"D","U")</f>
        <v>U</v>
      </c>
      <c r="AH17" s="255" t="str">
        <f>Master_Data[[#This Row],[GARP 10 Yr Papers]]</f>
        <v>U</v>
      </c>
    </row>
    <row r="18" spans="2:34" ht="27" customHeight="1" x14ac:dyDescent="0.3">
      <c r="B18" s="3">
        <v>10</v>
      </c>
      <c r="C18" s="166" t="str">
        <f ca="1">IF(Master_Data[[#This Row],[Column1]]="Done","",IF(Master_Data[[#This Row],[Column1]]=MIN(Master_Data[Column1]),"Current Week",CONCATENATE("Week ",Master_Data[[#This Row],[Column1]])))</f>
        <v>Week 8</v>
      </c>
      <c r="D18" s="3">
        <f ca="1">IF(Master_Data[[#This Row],[Cum. Undone hrs]]=0,"Done",ROUNDUP(Master_Data[[#This Row],[Cum. Undone hrs]]/Working!$C$8,0))</f>
        <v>8</v>
      </c>
      <c r="E18" s="3">
        <f ca="1">IF(OR(D18=D17,D18=D17+1),Master_Data[[#This Row],[Column1]],D18-1)</f>
        <v>7</v>
      </c>
      <c r="F18" s="11">
        <f>SUM($G$9:G18)</f>
        <v>2.3006944444444448</v>
      </c>
      <c r="G18" s="256">
        <f>IF(Master_Data[[#This Row],[Lectures]]="D","",Master_Data[[#This Row],[Duration (hh:mm)]])</f>
        <v>0.39652777777777776</v>
      </c>
      <c r="H18" s="2" t="s">
        <v>163</v>
      </c>
      <c r="I18" s="2">
        <v>5</v>
      </c>
      <c r="J18" s="2" t="s">
        <v>95</v>
      </c>
      <c r="K18" s="36" t="s">
        <v>208</v>
      </c>
      <c r="L18" s="257">
        <v>1</v>
      </c>
      <c r="M18" s="12">
        <v>7</v>
      </c>
      <c r="N18" s="35">
        <v>4</v>
      </c>
      <c r="O18" s="35">
        <v>4</v>
      </c>
      <c r="P18" s="35">
        <v>4</v>
      </c>
      <c r="Q18" s="35">
        <v>4</v>
      </c>
      <c r="R18" s="35">
        <v>5</v>
      </c>
      <c r="S18" s="35">
        <v>4</v>
      </c>
      <c r="T18" s="254">
        <v>0.39652777777777776</v>
      </c>
      <c r="U18" s="34">
        <f>(SUM($T$9:T18)/$T$4)*100</f>
        <v>25.567217163142473</v>
      </c>
      <c r="V18" s="19" t="s">
        <v>6</v>
      </c>
      <c r="W18" s="19" t="s">
        <v>6</v>
      </c>
      <c r="X18" s="19" t="s">
        <v>6</v>
      </c>
      <c r="Y18" s="19" t="s">
        <v>6</v>
      </c>
      <c r="Z18" s="19" t="s">
        <v>6</v>
      </c>
      <c r="AA18" s="19" t="s">
        <v>6</v>
      </c>
      <c r="AB18" s="146">
        <v>2</v>
      </c>
      <c r="AC18" s="13"/>
      <c r="AD18" s="161">
        <f>R18/SUM($R$9:$R$65)</f>
        <v>2.2522522522522521E-2</v>
      </c>
      <c r="AE18" s="162">
        <f>Master_Data[[#This Row],[Imp. Level]]/SUMIF(Master_Data[Subject],Master_Data[[#This Row],[Subject]],Master_Data[Imp. Level])</f>
        <v>0.12820512820512819</v>
      </c>
      <c r="AF18" s="144">
        <f>Master_Data[[#This Row],[Subjectwise weights]]*Master_Data[[#This Row],[Confidence Level]]</f>
        <v>0.25641025641025639</v>
      </c>
      <c r="AG18" s="145" t="str">
        <f>IF(AND(Master_Data[[#This Row],[Prac. Book]]="D",Master_Data[[#This Row],[GARP EOC Ques.]]="D"),"D","U")</f>
        <v>U</v>
      </c>
      <c r="AH18" s="255" t="str">
        <f>Master_Data[[#This Row],[GARP 10 Yr Papers]]</f>
        <v>U</v>
      </c>
    </row>
    <row r="19" spans="2:34" ht="27" customHeight="1" x14ac:dyDescent="0.3">
      <c r="B19" s="3">
        <v>11</v>
      </c>
      <c r="C19" s="166" t="str">
        <f ca="1">IF(Master_Data[[#This Row],[Column1]]="Done","",IF(Master_Data[[#This Row],[Column1]]=MIN(Master_Data[Column1]),"Current Week",CONCATENATE("Week ",Master_Data[[#This Row],[Column1]])))</f>
        <v>Week 8</v>
      </c>
      <c r="D19" s="3">
        <f ca="1">IF(Master_Data[[#This Row],[Cum. Undone hrs]]=0,"Done",ROUNDUP(Master_Data[[#This Row],[Cum. Undone hrs]]/Working!$C$8,0))</f>
        <v>8</v>
      </c>
      <c r="E19" s="3">
        <f ca="1">IF(OR(D19=D18,D19=D18+1),Master_Data[[#This Row],[Column1]],D19-1)</f>
        <v>8</v>
      </c>
      <c r="F19" s="11">
        <f>SUM($G$9:G19)</f>
        <v>2.3819444444444446</v>
      </c>
      <c r="G19" s="256">
        <f>IF(Master_Data[[#This Row],[Lectures]]="D","",Master_Data[[#This Row],[Duration (hh:mm)]])</f>
        <v>8.1250000000000003E-2</v>
      </c>
      <c r="H19" s="2" t="s">
        <v>163</v>
      </c>
      <c r="I19" s="2">
        <v>6</v>
      </c>
      <c r="J19" s="2" t="s">
        <v>95</v>
      </c>
      <c r="K19" s="36" t="s">
        <v>209</v>
      </c>
      <c r="L19" s="257">
        <v>1</v>
      </c>
      <c r="M19" s="12">
        <v>5</v>
      </c>
      <c r="N19" s="35">
        <v>3</v>
      </c>
      <c r="O19" s="35">
        <v>4</v>
      </c>
      <c r="P19" s="35">
        <v>4</v>
      </c>
      <c r="Q19" s="35">
        <v>5</v>
      </c>
      <c r="R19" s="35">
        <v>4</v>
      </c>
      <c r="S19" s="35">
        <v>4</v>
      </c>
      <c r="T19" s="254">
        <v>8.1250000000000003E-2</v>
      </c>
      <c r="U19" s="34">
        <f>(SUM($T$9:T19)/$T$4)*100</f>
        <v>26.47013427998149</v>
      </c>
      <c r="V19" s="19" t="s">
        <v>6</v>
      </c>
      <c r="W19" s="19" t="s">
        <v>6</v>
      </c>
      <c r="X19" s="19" t="s">
        <v>6</v>
      </c>
      <c r="Y19" s="19" t="s">
        <v>6</v>
      </c>
      <c r="Z19" s="19" t="s">
        <v>6</v>
      </c>
      <c r="AA19" s="19" t="s">
        <v>6</v>
      </c>
      <c r="AB19" s="146">
        <v>3</v>
      </c>
      <c r="AC19" s="13"/>
      <c r="AD19" s="161">
        <f>R19/SUM($R$9:$R$65)</f>
        <v>1.8018018018018018E-2</v>
      </c>
      <c r="AE19" s="162">
        <f>Master_Data[[#This Row],[Imp. Level]]/SUMIF(Master_Data[Subject],Master_Data[[#This Row],[Subject]],Master_Data[Imp. Level])</f>
        <v>0.10256410256410256</v>
      </c>
      <c r="AF19" s="144">
        <f>Master_Data[[#This Row],[Subjectwise weights]]*Master_Data[[#This Row],[Confidence Level]]</f>
        <v>0.30769230769230771</v>
      </c>
      <c r="AG19" s="145" t="str">
        <f>IF(AND(Master_Data[[#This Row],[Prac. Book]]="D",Master_Data[[#This Row],[GARP EOC Ques.]]="D"),"D","U")</f>
        <v>U</v>
      </c>
      <c r="AH19" s="255" t="str">
        <f>Master_Data[[#This Row],[GARP 10 Yr Papers]]</f>
        <v>U</v>
      </c>
    </row>
    <row r="20" spans="2:34" ht="27" customHeight="1" x14ac:dyDescent="0.3">
      <c r="B20" s="3">
        <v>12</v>
      </c>
      <c r="C20" s="166" t="str">
        <f ca="1">IF(Master_Data[[#This Row],[Column1]]="Done","",IF(Master_Data[[#This Row],[Column1]]=MIN(Master_Data[Column1]),"Current Week",CONCATENATE("Week ",Master_Data[[#This Row],[Column1]])))</f>
        <v>Week 9</v>
      </c>
      <c r="D20" s="3">
        <f ca="1">IF(Master_Data[[#This Row],[Cum. Undone hrs]]=0,"Done",ROUNDUP(Master_Data[[#This Row],[Cum. Undone hrs]]/Working!$C$8,0))</f>
        <v>9</v>
      </c>
      <c r="E20" s="3">
        <f ca="1">IF(OR(D20=D19,D20=D19+1),Master_Data[[#This Row],[Column1]],D20-1)</f>
        <v>9</v>
      </c>
      <c r="F20" s="11">
        <f>SUM($G$9:G20)</f>
        <v>2.5854166666666667</v>
      </c>
      <c r="G20" s="256">
        <f>IF(Master_Data[[#This Row],[Lectures]]="D","",Master_Data[[#This Row],[Duration (hh:mm)]])</f>
        <v>0.20347222222222222</v>
      </c>
      <c r="H20" s="2" t="s">
        <v>169</v>
      </c>
      <c r="I20" s="2">
        <v>29</v>
      </c>
      <c r="J20" s="2" t="s">
        <v>95</v>
      </c>
      <c r="K20" s="36" t="s">
        <v>172</v>
      </c>
      <c r="L20" s="257">
        <v>1</v>
      </c>
      <c r="M20" s="12">
        <v>7</v>
      </c>
      <c r="N20" s="35">
        <v>3</v>
      </c>
      <c r="O20" s="35">
        <v>2</v>
      </c>
      <c r="P20" s="35">
        <v>3</v>
      </c>
      <c r="Q20" s="35">
        <v>4</v>
      </c>
      <c r="R20" s="35">
        <v>3</v>
      </c>
      <c r="S20" s="35">
        <v>4</v>
      </c>
      <c r="T20" s="254">
        <v>0.20347222222222222</v>
      </c>
      <c r="U20" s="34">
        <f>(SUM($T$9:T20)/$T$4)*100</f>
        <v>28.731285692236462</v>
      </c>
      <c r="V20" s="19" t="s">
        <v>6</v>
      </c>
      <c r="W20" s="19" t="s">
        <v>6</v>
      </c>
      <c r="X20" s="19" t="s">
        <v>6</v>
      </c>
      <c r="Y20" s="19" t="s">
        <v>6</v>
      </c>
      <c r="Z20" s="19" t="s">
        <v>6</v>
      </c>
      <c r="AA20" s="19" t="s">
        <v>6</v>
      </c>
      <c r="AB20" s="146">
        <v>3</v>
      </c>
      <c r="AC20" s="13"/>
      <c r="AD20" s="161">
        <f>R20/SUM($R$9:$R$65)</f>
        <v>1.3513513513513514E-2</v>
      </c>
      <c r="AE20" s="162">
        <f>Master_Data[[#This Row],[Imp. Level]]/SUMIF(Master_Data[Subject],Master_Data[[#This Row],[Subject]],Master_Data[Imp. Level])</f>
        <v>3.7499999999999999E-2</v>
      </c>
      <c r="AF20" s="144">
        <f>Master_Data[[#This Row],[Subjectwise weights]]*Master_Data[[#This Row],[Confidence Level]]</f>
        <v>0.11249999999999999</v>
      </c>
      <c r="AG20" s="145" t="str">
        <f>IF(AND(Master_Data[[#This Row],[Prac. Book]]="D",Master_Data[[#This Row],[GARP EOC Ques.]]="D"),"D","U")</f>
        <v>U</v>
      </c>
      <c r="AH20" s="255" t="str">
        <f>Master_Data[[#This Row],[GARP 10 Yr Papers]]</f>
        <v>U</v>
      </c>
    </row>
    <row r="21" spans="2:34" ht="27" customHeight="1" x14ac:dyDescent="0.3">
      <c r="B21" s="3">
        <v>13</v>
      </c>
      <c r="C21" s="166" t="str">
        <f ca="1">IF(Master_Data[[#This Row],[Column1]]="Done","",IF(Master_Data[[#This Row],[Column1]]=MIN(Master_Data[Column1]),"Current Week",CONCATENATE("Week ",Master_Data[[#This Row],[Column1]])))</f>
        <v>Week 9</v>
      </c>
      <c r="D21" s="3">
        <f ca="1">IF(Master_Data[[#This Row],[Cum. Undone hrs]]=0,"Done",ROUNDUP(Master_Data[[#This Row],[Cum. Undone hrs]]/Working!$C$8,0))</f>
        <v>9</v>
      </c>
      <c r="E21" s="3">
        <f ca="1">IF(OR(D21=D20,D21=D20+1),Master_Data[[#This Row],[Column1]],D21-1)</f>
        <v>9</v>
      </c>
      <c r="F21" s="11">
        <f>SUM($G$9:G21)</f>
        <v>2.682638888888889</v>
      </c>
      <c r="G21" s="256">
        <f>IF(Master_Data[[#This Row],[Lectures]]="D","",Master_Data[[#This Row],[Duration (hh:mm)]])</f>
        <v>9.7222222222222224E-2</v>
      </c>
      <c r="H21" s="2" t="s">
        <v>162</v>
      </c>
      <c r="I21" s="2">
        <v>21</v>
      </c>
      <c r="J21" s="2" t="s">
        <v>95</v>
      </c>
      <c r="K21" s="36" t="s">
        <v>173</v>
      </c>
      <c r="L21" s="257">
        <v>1</v>
      </c>
      <c r="M21" s="12">
        <v>14</v>
      </c>
      <c r="N21" s="35">
        <v>3</v>
      </c>
      <c r="O21" s="35">
        <v>3</v>
      </c>
      <c r="P21" s="35">
        <v>5</v>
      </c>
      <c r="Q21" s="35">
        <v>5</v>
      </c>
      <c r="R21" s="35">
        <v>4</v>
      </c>
      <c r="S21" s="35">
        <v>4</v>
      </c>
      <c r="T21" s="254">
        <v>9.7222222222222224E-2</v>
      </c>
      <c r="U21" s="34">
        <f>(SUM($T$9:T21)/$T$4)*100</f>
        <v>29.811699336317343</v>
      </c>
      <c r="V21" s="19" t="s">
        <v>6</v>
      </c>
      <c r="W21" s="19" t="s">
        <v>6</v>
      </c>
      <c r="X21" s="19" t="s">
        <v>6</v>
      </c>
      <c r="Y21" s="19" t="s">
        <v>6</v>
      </c>
      <c r="Z21" s="19" t="s">
        <v>6</v>
      </c>
      <c r="AA21" s="19" t="s">
        <v>6</v>
      </c>
      <c r="AB21" s="146">
        <v>3</v>
      </c>
      <c r="AC21" s="13"/>
      <c r="AD21" s="161">
        <f>R21/SUM($R$9:$R$65)</f>
        <v>1.8018018018018018E-2</v>
      </c>
      <c r="AE21" s="162">
        <f>Master_Data[[#This Row],[Imp. Level]]/SUMIF(Master_Data[Subject],Master_Data[[#This Row],[Subject]],Master_Data[Imp. Level])</f>
        <v>0.10256410256410256</v>
      </c>
      <c r="AF21" s="144">
        <f>Master_Data[[#This Row],[Subjectwise weights]]*Master_Data[[#This Row],[Confidence Level]]</f>
        <v>0.30769230769230771</v>
      </c>
      <c r="AG21" s="145" t="str">
        <f>IF(AND(Master_Data[[#This Row],[Prac. Book]]="D",Master_Data[[#This Row],[GARP EOC Ques.]]="D"),"D","U")</f>
        <v>U</v>
      </c>
      <c r="AH21" s="255" t="str">
        <f>Master_Data[[#This Row],[GARP 10 Yr Papers]]</f>
        <v>U</v>
      </c>
    </row>
    <row r="22" spans="2:34" ht="27" customHeight="1" x14ac:dyDescent="0.3">
      <c r="B22" s="3">
        <v>14</v>
      </c>
      <c r="C22" s="166" t="str">
        <f ca="1">IF(Master_Data[[#This Row],[Column1]]="Done","",IF(Master_Data[[#This Row],[Column1]]=MIN(Master_Data[Column1]),"Current Week",CONCATENATE("Week ",Master_Data[[#This Row],[Column1]])))</f>
        <v>Week 9</v>
      </c>
      <c r="D22" s="3">
        <f ca="1">IF(Master_Data[[#This Row],[Cum. Undone hrs]]=0,"Done",ROUNDUP(Master_Data[[#This Row],[Cum. Undone hrs]]/Working!$C$8,0))</f>
        <v>9</v>
      </c>
      <c r="E22" s="3">
        <f ca="1">IF(OR(D22=D21,D22=D21+1),Master_Data[[#This Row],[Column1]],D22-1)</f>
        <v>9</v>
      </c>
      <c r="F22" s="11">
        <f>SUM($G$9:G22)</f>
        <v>2.7576388888888892</v>
      </c>
      <c r="G22" s="256">
        <f>IF(Master_Data[[#This Row],[Lectures]]="D","",Master_Data[[#This Row],[Duration (hh:mm)]])</f>
        <v>7.4999999999999997E-2</v>
      </c>
      <c r="H22" s="2" t="s">
        <v>162</v>
      </c>
      <c r="I22" s="2">
        <v>22</v>
      </c>
      <c r="J22" s="2" t="s">
        <v>95</v>
      </c>
      <c r="K22" s="36" t="s">
        <v>174</v>
      </c>
      <c r="L22" s="257">
        <v>1</v>
      </c>
      <c r="M22" s="12">
        <v>7</v>
      </c>
      <c r="N22" s="35">
        <v>3</v>
      </c>
      <c r="O22" s="35">
        <v>4</v>
      </c>
      <c r="P22" s="35">
        <v>5</v>
      </c>
      <c r="Q22" s="35">
        <v>5</v>
      </c>
      <c r="R22" s="35">
        <v>4</v>
      </c>
      <c r="S22" s="35">
        <v>4</v>
      </c>
      <c r="T22" s="254">
        <v>7.4999999999999997E-2</v>
      </c>
      <c r="U22" s="34">
        <f>(SUM($T$9:T22)/$T$4)*100</f>
        <v>30.645161290322591</v>
      </c>
      <c r="V22" s="19" t="s">
        <v>6</v>
      </c>
      <c r="W22" s="19" t="s">
        <v>6</v>
      </c>
      <c r="X22" s="19" t="s">
        <v>6</v>
      </c>
      <c r="Y22" s="19" t="s">
        <v>6</v>
      </c>
      <c r="Z22" s="19" t="s">
        <v>6</v>
      </c>
      <c r="AA22" s="19" t="s">
        <v>6</v>
      </c>
      <c r="AB22" s="146">
        <v>2</v>
      </c>
      <c r="AC22" s="13"/>
      <c r="AD22" s="161">
        <f>R22/SUM($R$9:$R$65)</f>
        <v>1.8018018018018018E-2</v>
      </c>
      <c r="AE22" s="162">
        <f>Master_Data[[#This Row],[Imp. Level]]/SUMIF(Master_Data[Subject],Master_Data[[#This Row],[Subject]],Master_Data[Imp. Level])</f>
        <v>0.10256410256410256</v>
      </c>
      <c r="AF22" s="144">
        <f>Master_Data[[#This Row],[Subjectwise weights]]*Master_Data[[#This Row],[Confidence Level]]</f>
        <v>0.20512820512820512</v>
      </c>
      <c r="AG22" s="145" t="str">
        <f>IF(AND(Master_Data[[#This Row],[Prac. Book]]="D",Master_Data[[#This Row],[GARP EOC Ques.]]="D"),"D","U")</f>
        <v>U</v>
      </c>
      <c r="AH22" s="255" t="str">
        <f>Master_Data[[#This Row],[GARP 10 Yr Papers]]</f>
        <v>U</v>
      </c>
    </row>
    <row r="23" spans="2:34" ht="27" customHeight="1" x14ac:dyDescent="0.3">
      <c r="B23" s="3">
        <v>15</v>
      </c>
      <c r="C23" s="166" t="str">
        <f ca="1">IF(Master_Data[[#This Row],[Column1]]="Done","",IF(Master_Data[[#This Row],[Column1]]=MIN(Master_Data[Column1]),"Current Week",CONCATENATE("Week ",Master_Data[[#This Row],[Column1]])))</f>
        <v>Week 9</v>
      </c>
      <c r="D23" s="3">
        <f ca="1">IF(Master_Data[[#This Row],[Cum. Undone hrs]]=0,"Done",ROUNDUP(Master_Data[[#This Row],[Cum. Undone hrs]]/Working!$C$8,0))</f>
        <v>9</v>
      </c>
      <c r="E23" s="3">
        <f ca="1">IF(OR(D23=D22,D23=D22+1),Master_Data[[#This Row],[Column1]],D23-1)</f>
        <v>9</v>
      </c>
      <c r="F23" s="11">
        <f>SUM($G$9:G23)</f>
        <v>2.8590277777777779</v>
      </c>
      <c r="G23" s="256">
        <f>IF(Master_Data[[#This Row],[Lectures]]="D","",Master_Data[[#This Row],[Duration (hh:mm)]])</f>
        <v>0.10138888888888889</v>
      </c>
      <c r="H23" s="2" t="s">
        <v>162</v>
      </c>
      <c r="I23" s="2">
        <v>23</v>
      </c>
      <c r="J23" s="2" t="s">
        <v>95</v>
      </c>
      <c r="K23" s="36" t="s">
        <v>210</v>
      </c>
      <c r="L23" s="257">
        <v>1</v>
      </c>
      <c r="M23" s="12">
        <v>8</v>
      </c>
      <c r="N23" s="35">
        <v>3</v>
      </c>
      <c r="O23" s="35">
        <v>4</v>
      </c>
      <c r="P23" s="35">
        <v>4</v>
      </c>
      <c r="Q23" s="35">
        <v>4</v>
      </c>
      <c r="R23" s="35">
        <v>3</v>
      </c>
      <c r="S23" s="35">
        <v>4</v>
      </c>
      <c r="T23" s="254">
        <v>0.10138888888888889</v>
      </c>
      <c r="U23" s="34">
        <f>(SUM($T$9:T23)/$T$4)*100</f>
        <v>31.771878376292651</v>
      </c>
      <c r="V23" s="19" t="s">
        <v>6</v>
      </c>
      <c r="W23" s="19" t="s">
        <v>6</v>
      </c>
      <c r="X23" s="19" t="s">
        <v>6</v>
      </c>
      <c r="Y23" s="19" t="s">
        <v>6</v>
      </c>
      <c r="Z23" s="19" t="s">
        <v>6</v>
      </c>
      <c r="AA23" s="19" t="s">
        <v>6</v>
      </c>
      <c r="AB23" s="146">
        <v>3</v>
      </c>
      <c r="AC23" s="13"/>
      <c r="AD23" s="161">
        <f>R23/SUM($R$9:$R$65)</f>
        <v>1.3513513513513514E-2</v>
      </c>
      <c r="AE23" s="162">
        <f>Master_Data[[#This Row],[Imp. Level]]/SUMIF(Master_Data[Subject],Master_Data[[#This Row],[Subject]],Master_Data[Imp. Level])</f>
        <v>7.6923076923076927E-2</v>
      </c>
      <c r="AF23" s="144">
        <f>Master_Data[[#This Row],[Subjectwise weights]]*Master_Data[[#This Row],[Confidence Level]]</f>
        <v>0.23076923076923078</v>
      </c>
      <c r="AG23" s="145" t="str">
        <f>IF(AND(Master_Data[[#This Row],[Prac. Book]]="D",Master_Data[[#This Row],[GARP EOC Ques.]]="D"),"D","U")</f>
        <v>U</v>
      </c>
      <c r="AH23" s="255" t="str">
        <f>Master_Data[[#This Row],[GARP 10 Yr Papers]]</f>
        <v>U</v>
      </c>
    </row>
    <row r="24" spans="2:34" ht="27" customHeight="1" x14ac:dyDescent="0.3">
      <c r="B24" s="3">
        <v>16</v>
      </c>
      <c r="C24" s="166" t="str">
        <f ca="1">IF(Master_Data[[#This Row],[Column1]]="Done","",IF(Master_Data[[#This Row],[Column1]]=MIN(Master_Data[Column1]),"Current Week",CONCATENATE("Week ",Master_Data[[#This Row],[Column1]])))</f>
        <v>Week 10</v>
      </c>
      <c r="D24" s="3">
        <f ca="1">IF(Master_Data[[#This Row],[Cum. Undone hrs]]=0,"Done",ROUNDUP(Master_Data[[#This Row],[Cum. Undone hrs]]/Working!$C$8,0))</f>
        <v>10</v>
      </c>
      <c r="E24" s="3">
        <f ca="1">IF(OR(D24=D23,D24=D23+1),Master_Data[[#This Row],[Column1]],D24-1)</f>
        <v>10</v>
      </c>
      <c r="F24" s="11">
        <f>SUM($G$9:G24)</f>
        <v>2.8951388888888889</v>
      </c>
      <c r="G24" s="256">
        <f>IF(Master_Data[[#This Row],[Lectures]]="D","",Master_Data[[#This Row],[Duration (hh:mm)]])</f>
        <v>3.6111111111111108E-2</v>
      </c>
      <c r="H24" s="2" t="s">
        <v>169</v>
      </c>
      <c r="I24" s="2">
        <v>35</v>
      </c>
      <c r="J24" s="2" t="s">
        <v>95</v>
      </c>
      <c r="K24" s="36" t="s">
        <v>194</v>
      </c>
      <c r="L24" s="257">
        <v>1</v>
      </c>
      <c r="M24" s="12">
        <v>12</v>
      </c>
      <c r="N24" s="35">
        <v>3</v>
      </c>
      <c r="O24" s="35">
        <v>3</v>
      </c>
      <c r="P24" s="35">
        <v>4</v>
      </c>
      <c r="Q24" s="35">
        <v>5</v>
      </c>
      <c r="R24" s="35">
        <v>4</v>
      </c>
      <c r="S24" s="35">
        <v>4</v>
      </c>
      <c r="T24" s="254">
        <v>3.6111111111111108E-2</v>
      </c>
      <c r="U24" s="34">
        <f>(SUM($T$9:T24)/$T$4)*100</f>
        <v>32.173174872665541</v>
      </c>
      <c r="V24" s="19" t="s">
        <v>6</v>
      </c>
      <c r="W24" s="19" t="s">
        <v>6</v>
      </c>
      <c r="X24" s="19" t="s">
        <v>6</v>
      </c>
      <c r="Y24" s="19" t="s">
        <v>6</v>
      </c>
      <c r="Z24" s="19" t="s">
        <v>6</v>
      </c>
      <c r="AA24" s="19" t="s">
        <v>6</v>
      </c>
      <c r="AB24" s="146">
        <v>2</v>
      </c>
      <c r="AC24" s="13"/>
      <c r="AD24" s="161">
        <f>R24/SUM($R$9:$R$65)</f>
        <v>1.8018018018018018E-2</v>
      </c>
      <c r="AE24" s="162">
        <f>Master_Data[[#This Row],[Imp. Level]]/SUMIF(Master_Data[Subject],Master_Data[[#This Row],[Subject]],Master_Data[Imp. Level])</f>
        <v>0.05</v>
      </c>
      <c r="AF24" s="144">
        <f>Master_Data[[#This Row],[Subjectwise weights]]*Master_Data[[#This Row],[Confidence Level]]</f>
        <v>0.1</v>
      </c>
      <c r="AG24" s="145" t="str">
        <f>IF(AND(Master_Data[[#This Row],[Prac. Book]]="D",Master_Data[[#This Row],[GARP EOC Ques.]]="D"),"D","U")</f>
        <v>U</v>
      </c>
      <c r="AH24" s="255" t="str">
        <f>Master_Data[[#This Row],[GARP 10 Yr Papers]]</f>
        <v>U</v>
      </c>
    </row>
    <row r="25" spans="2:34" ht="27" customHeight="1" x14ac:dyDescent="0.3">
      <c r="B25" s="3">
        <v>17</v>
      </c>
      <c r="C25" s="166" t="str">
        <f ca="1">IF(Master_Data[[#This Row],[Column1]]="Done","",IF(Master_Data[[#This Row],[Column1]]=MIN(Master_Data[Column1]),"Current Week",CONCATENATE("Week ",Master_Data[[#This Row],[Column1]])))</f>
        <v>Week 12</v>
      </c>
      <c r="D25" s="3">
        <f ca="1">IF(Master_Data[[#This Row],[Cum. Undone hrs]]=0,"Done",ROUNDUP(Master_Data[[#This Row],[Cum. Undone hrs]]/Working!$C$8,0))</f>
        <v>12</v>
      </c>
      <c r="E25" s="3">
        <f ca="1">IF(OR(D25=D24,D25=D24+1),Master_Data[[#This Row],[Column1]],D25-1)</f>
        <v>11</v>
      </c>
      <c r="F25" s="11">
        <f>SUM($G$9:G25)</f>
        <v>3.7069444444444444</v>
      </c>
      <c r="G25" s="256">
        <f>IF(Master_Data[[#This Row],[Lectures]]="D","",Master_Data[[#This Row],[Duration (hh:mm)]])</f>
        <v>0.81180555555555556</v>
      </c>
      <c r="H25" s="2" t="s">
        <v>169</v>
      </c>
      <c r="I25" s="2">
        <v>30</v>
      </c>
      <c r="J25" s="2" t="s">
        <v>95</v>
      </c>
      <c r="K25" s="36" t="s">
        <v>177</v>
      </c>
      <c r="L25" s="257">
        <v>1</v>
      </c>
      <c r="M25" s="12">
        <v>9</v>
      </c>
      <c r="N25" s="35">
        <v>1</v>
      </c>
      <c r="O25" s="35">
        <v>2</v>
      </c>
      <c r="P25" s="35">
        <v>2</v>
      </c>
      <c r="Q25" s="35">
        <v>2</v>
      </c>
      <c r="R25" s="35">
        <v>3</v>
      </c>
      <c r="S25" s="35">
        <v>4</v>
      </c>
      <c r="T25" s="254">
        <v>0.81180555555555556</v>
      </c>
      <c r="U25" s="34">
        <f>(SUM($T$9:T25)/$T$4)*100</f>
        <v>41.194628800740865</v>
      </c>
      <c r="V25" s="19" t="s">
        <v>6</v>
      </c>
      <c r="W25" s="19" t="s">
        <v>6</v>
      </c>
      <c r="X25" s="19" t="s">
        <v>6</v>
      </c>
      <c r="Y25" s="19" t="s">
        <v>6</v>
      </c>
      <c r="Z25" s="19" t="s">
        <v>6</v>
      </c>
      <c r="AA25" s="19" t="s">
        <v>6</v>
      </c>
      <c r="AB25" s="146">
        <v>2</v>
      </c>
      <c r="AC25" s="13"/>
      <c r="AD25" s="161">
        <f>R25/SUM($R$9:$R$65)</f>
        <v>1.3513513513513514E-2</v>
      </c>
      <c r="AE25" s="162">
        <f>Master_Data[[#This Row],[Imp. Level]]/SUMIF(Master_Data[Subject],Master_Data[[#This Row],[Subject]],Master_Data[Imp. Level])</f>
        <v>3.7499999999999999E-2</v>
      </c>
      <c r="AF25" s="144">
        <f>Master_Data[[#This Row],[Subjectwise weights]]*Master_Data[[#This Row],[Confidence Level]]</f>
        <v>7.4999999999999997E-2</v>
      </c>
      <c r="AG25" s="145" t="str">
        <f>IF(AND(Master_Data[[#This Row],[Prac. Book]]="D",Master_Data[[#This Row],[GARP EOC Ques.]]="D"),"D","U")</f>
        <v>U</v>
      </c>
      <c r="AH25" s="255" t="str">
        <f>Master_Data[[#This Row],[GARP 10 Yr Papers]]</f>
        <v>U</v>
      </c>
    </row>
    <row r="26" spans="2:34" ht="27" customHeight="1" x14ac:dyDescent="0.3">
      <c r="B26" s="3">
        <v>18</v>
      </c>
      <c r="C26" s="166" t="str">
        <f ca="1">IF(Master_Data[[#This Row],[Column1]]="Done","",IF(Master_Data[[#This Row],[Column1]]=MIN(Master_Data[Column1]),"Current Week",CONCATENATE("Week ",Master_Data[[#This Row],[Column1]])))</f>
        <v>Week 12</v>
      </c>
      <c r="D26" s="3">
        <f ca="1">IF(Master_Data[[#This Row],[Cum. Undone hrs]]=0,"Done",ROUNDUP(Master_Data[[#This Row],[Cum. Undone hrs]]/Working!$C$8,0))</f>
        <v>12</v>
      </c>
      <c r="E26" s="3">
        <f ca="1">IF(OR(D26=D25,D26=D25+1),Master_Data[[#This Row],[Column1]],D26-1)</f>
        <v>12</v>
      </c>
      <c r="F26" s="11">
        <f>SUM($G$9:G26)</f>
        <v>3.8125</v>
      </c>
      <c r="G26" s="256">
        <f>IF(Master_Data[[#This Row],[Lectures]]="D","",Master_Data[[#This Row],[Duration (hh:mm)]])</f>
        <v>0.10555555555555556</v>
      </c>
      <c r="H26" s="2" t="s">
        <v>169</v>
      </c>
      <c r="I26" s="2">
        <v>38</v>
      </c>
      <c r="J26" s="2" t="s">
        <v>94</v>
      </c>
      <c r="K26" s="36" t="s">
        <v>175</v>
      </c>
      <c r="L26" s="257">
        <v>1</v>
      </c>
      <c r="M26" s="12">
        <v>5</v>
      </c>
      <c r="N26" s="35">
        <v>4</v>
      </c>
      <c r="O26" s="35">
        <v>5</v>
      </c>
      <c r="P26" s="35">
        <v>4</v>
      </c>
      <c r="Q26" s="35">
        <v>5</v>
      </c>
      <c r="R26" s="35">
        <v>5</v>
      </c>
      <c r="S26" s="35">
        <v>4</v>
      </c>
      <c r="T26" s="254">
        <v>0.10555555555555556</v>
      </c>
      <c r="U26" s="34">
        <f>(SUM($T$9:T26)/$T$4)*100</f>
        <v>42.367649328600102</v>
      </c>
      <c r="V26" s="19" t="s">
        <v>6</v>
      </c>
      <c r="W26" s="19" t="s">
        <v>6</v>
      </c>
      <c r="X26" s="19" t="s">
        <v>6</v>
      </c>
      <c r="Y26" s="19" t="s">
        <v>6</v>
      </c>
      <c r="Z26" s="19" t="s">
        <v>6</v>
      </c>
      <c r="AA26" s="19" t="s">
        <v>6</v>
      </c>
      <c r="AB26" s="146">
        <v>2</v>
      </c>
      <c r="AC26" s="13"/>
      <c r="AD26" s="161">
        <f>R26/SUM($R$9:$R$65)</f>
        <v>2.2522522522522521E-2</v>
      </c>
      <c r="AE26" s="162">
        <f>Master_Data[[#This Row],[Imp. Level]]/SUMIF(Master_Data[Subject],Master_Data[[#This Row],[Subject]],Master_Data[Imp. Level])</f>
        <v>6.25E-2</v>
      </c>
      <c r="AF26" s="144">
        <f>Master_Data[[#This Row],[Subjectwise weights]]*Master_Data[[#This Row],[Confidence Level]]</f>
        <v>0.125</v>
      </c>
      <c r="AG26" s="145" t="str">
        <f>IF(AND(Master_Data[[#This Row],[Prac. Book]]="D",Master_Data[[#This Row],[GARP EOC Ques.]]="D"),"D","U")</f>
        <v>U</v>
      </c>
      <c r="AH26" s="255" t="str">
        <f>Master_Data[[#This Row],[GARP 10 Yr Papers]]</f>
        <v>U</v>
      </c>
    </row>
    <row r="27" spans="2:34" ht="27" customHeight="1" x14ac:dyDescent="0.3">
      <c r="B27" s="3">
        <v>19</v>
      </c>
      <c r="C27" s="166" t="str">
        <f ca="1">IF(Master_Data[[#This Row],[Column1]]="Done","",IF(Master_Data[[#This Row],[Column1]]=MIN(Master_Data[Column1]),"Current Week",CONCATENATE("Week ",Master_Data[[#This Row],[Column1]])))</f>
        <v>Week 13</v>
      </c>
      <c r="D27" s="3">
        <f ca="1">IF(Master_Data[[#This Row],[Cum. Undone hrs]]=0,"Done",ROUNDUP(Master_Data[[#This Row],[Cum. Undone hrs]]/Working!$C$8,0))</f>
        <v>13</v>
      </c>
      <c r="E27" s="3">
        <f ca="1">IF(OR(D27=D26,D27=D26+1),Master_Data[[#This Row],[Column1]],D27-1)</f>
        <v>13</v>
      </c>
      <c r="F27" s="11">
        <f>SUM($G$9:G27)</f>
        <v>3.8312499999999998</v>
      </c>
      <c r="G27" s="256">
        <f>IF(Master_Data[[#This Row],[Lectures]]="D","",Master_Data[[#This Row],[Duration (hh:mm)]])</f>
        <v>1.8749999999999999E-2</v>
      </c>
      <c r="H27" s="2" t="s">
        <v>169</v>
      </c>
      <c r="I27" s="2">
        <v>39</v>
      </c>
      <c r="J27" s="2" t="s">
        <v>95</v>
      </c>
      <c r="K27" s="36" t="s">
        <v>176</v>
      </c>
      <c r="L27" s="257">
        <v>1</v>
      </c>
      <c r="M27" s="12">
        <v>4</v>
      </c>
      <c r="N27" s="35">
        <v>4</v>
      </c>
      <c r="O27" s="35">
        <v>5</v>
      </c>
      <c r="P27" s="35">
        <v>4</v>
      </c>
      <c r="Q27" s="35">
        <v>5</v>
      </c>
      <c r="R27" s="35">
        <v>5</v>
      </c>
      <c r="S27" s="35">
        <v>4</v>
      </c>
      <c r="T27" s="254">
        <v>1.8749999999999999E-2</v>
      </c>
      <c r="U27" s="34">
        <f>(SUM($T$9:T27)/$T$4)*100</f>
        <v>42.576014817101417</v>
      </c>
      <c r="V27" s="19" t="s">
        <v>6</v>
      </c>
      <c r="W27" s="19" t="s">
        <v>6</v>
      </c>
      <c r="X27" s="19" t="s">
        <v>6</v>
      </c>
      <c r="Y27" s="19" t="s">
        <v>6</v>
      </c>
      <c r="Z27" s="19" t="s">
        <v>6</v>
      </c>
      <c r="AA27" s="19" t="s">
        <v>6</v>
      </c>
      <c r="AB27" s="146">
        <v>2</v>
      </c>
      <c r="AC27" s="13"/>
      <c r="AD27" s="161">
        <f>R27/SUM($R$9:$R$65)</f>
        <v>2.2522522522522521E-2</v>
      </c>
      <c r="AE27" s="162">
        <f>Master_Data[[#This Row],[Imp. Level]]/SUMIF(Master_Data[Subject],Master_Data[[#This Row],[Subject]],Master_Data[Imp. Level])</f>
        <v>6.25E-2</v>
      </c>
      <c r="AF27" s="144">
        <f>Master_Data[[#This Row],[Subjectwise weights]]*Master_Data[[#This Row],[Confidence Level]]</f>
        <v>0.125</v>
      </c>
      <c r="AG27" s="145" t="str">
        <f>IF(AND(Master_Data[[#This Row],[Prac. Book]]="D",Master_Data[[#This Row],[GARP EOC Ques.]]="D"),"D","U")</f>
        <v>U</v>
      </c>
      <c r="AH27" s="255" t="str">
        <f>Master_Data[[#This Row],[GARP 10 Yr Papers]]</f>
        <v>U</v>
      </c>
    </row>
    <row r="28" spans="2:34" ht="27" customHeight="1" x14ac:dyDescent="0.3">
      <c r="B28" s="3">
        <v>20</v>
      </c>
      <c r="C28" s="166" t="str">
        <f ca="1">IF(Master_Data[[#This Row],[Column1]]="Done","",IF(Master_Data[[#This Row],[Column1]]=MIN(Master_Data[Column1]),"Current Week",CONCATENATE("Week ",Master_Data[[#This Row],[Column1]])))</f>
        <v>Week 13</v>
      </c>
      <c r="D28" s="3">
        <f ca="1">IF(Master_Data[[#This Row],[Cum. Undone hrs]]=0,"Done",ROUNDUP(Master_Data[[#This Row],[Cum. Undone hrs]]/Working!$C$8,0))</f>
        <v>13</v>
      </c>
      <c r="E28" s="3">
        <f ca="1">IF(OR(D28=D27,D28=D27+1),Master_Data[[#This Row],[Column1]],D28-1)</f>
        <v>13</v>
      </c>
      <c r="F28" s="11">
        <f>SUM($G$9:G28)</f>
        <v>3.9569444444444444</v>
      </c>
      <c r="G28" s="256">
        <f>IF(Master_Data[[#This Row],[Lectures]]="D","",Master_Data[[#This Row],[Duration (hh:mm)]])</f>
        <v>0.12569444444444444</v>
      </c>
      <c r="H28" s="2" t="s">
        <v>162</v>
      </c>
      <c r="I28" s="2">
        <v>24</v>
      </c>
      <c r="J28" s="2" t="s">
        <v>95</v>
      </c>
      <c r="K28" s="36" t="s">
        <v>211</v>
      </c>
      <c r="L28" s="257">
        <v>1</v>
      </c>
      <c r="M28" s="12">
        <v>7</v>
      </c>
      <c r="N28" s="35">
        <v>3</v>
      </c>
      <c r="O28" s="35">
        <v>1</v>
      </c>
      <c r="P28" s="35">
        <v>4</v>
      </c>
      <c r="Q28" s="35">
        <v>5</v>
      </c>
      <c r="R28" s="35">
        <v>3</v>
      </c>
      <c r="S28" s="35">
        <v>4</v>
      </c>
      <c r="T28" s="254">
        <v>0.12569444444444444</v>
      </c>
      <c r="U28" s="34">
        <f>(SUM($T$9:T28)/$T$4)*100</f>
        <v>43.972835314091697</v>
      </c>
      <c r="V28" s="19" t="s">
        <v>6</v>
      </c>
      <c r="W28" s="19" t="s">
        <v>6</v>
      </c>
      <c r="X28" s="19" t="s">
        <v>6</v>
      </c>
      <c r="Y28" s="19" t="s">
        <v>6</v>
      </c>
      <c r="Z28" s="19" t="s">
        <v>6</v>
      </c>
      <c r="AA28" s="19" t="s">
        <v>6</v>
      </c>
      <c r="AB28" s="146">
        <v>2</v>
      </c>
      <c r="AC28" s="13"/>
      <c r="AD28" s="161">
        <f>R28/SUM($R$9:$R$65)</f>
        <v>1.3513513513513514E-2</v>
      </c>
      <c r="AE28" s="162">
        <f>Master_Data[[#This Row],[Imp. Level]]/SUMIF(Master_Data[Subject],Master_Data[[#This Row],[Subject]],Master_Data[Imp. Level])</f>
        <v>7.6923076923076927E-2</v>
      </c>
      <c r="AF28" s="144">
        <f>Master_Data[[#This Row],[Subjectwise weights]]*Master_Data[[#This Row],[Confidence Level]]</f>
        <v>0.15384615384615385</v>
      </c>
      <c r="AG28" s="145" t="str">
        <f>IF(AND(Master_Data[[#This Row],[Prac. Book]]="D",Master_Data[[#This Row],[GARP EOC Ques.]]="D"),"D","U")</f>
        <v>U</v>
      </c>
      <c r="AH28" s="255" t="str">
        <f>Master_Data[[#This Row],[GARP 10 Yr Papers]]</f>
        <v>U</v>
      </c>
    </row>
    <row r="29" spans="2:34" ht="27" customHeight="1" x14ac:dyDescent="0.3">
      <c r="B29" s="3">
        <v>21</v>
      </c>
      <c r="C29" s="166" t="str">
        <f ca="1">IF(Master_Data[[#This Row],[Column1]]="Done","",IF(Master_Data[[#This Row],[Column1]]=MIN(Master_Data[Column1]),"Current Week",CONCATENATE("Week ",Master_Data[[#This Row],[Column1]])))</f>
        <v>Week 13</v>
      </c>
      <c r="D29" s="3">
        <f ca="1">IF(Master_Data[[#This Row],[Cum. Undone hrs]]=0,"Done",ROUNDUP(Master_Data[[#This Row],[Cum. Undone hrs]]/Working!$C$8,0))</f>
        <v>13</v>
      </c>
      <c r="E29" s="3">
        <f ca="1">IF(OR(D29=D28,D29=D28+1),Master_Data[[#This Row],[Column1]],D29-1)</f>
        <v>13</v>
      </c>
      <c r="F29" s="11">
        <f>SUM($G$9:G29)</f>
        <v>4.125</v>
      </c>
      <c r="G29" s="256">
        <f>IF(Master_Data[[#This Row],[Lectures]]="D","",Master_Data[[#This Row],[Duration (hh:mm)]])</f>
        <v>0.16805555555555557</v>
      </c>
      <c r="H29" s="2" t="s">
        <v>162</v>
      </c>
      <c r="I29" s="2">
        <v>25</v>
      </c>
      <c r="J29" s="2" t="s">
        <v>94</v>
      </c>
      <c r="K29" s="36" t="s">
        <v>223</v>
      </c>
      <c r="L29" s="257">
        <v>1</v>
      </c>
      <c r="M29" s="12">
        <v>9</v>
      </c>
      <c r="N29" s="35">
        <v>3</v>
      </c>
      <c r="O29" s="35">
        <v>1</v>
      </c>
      <c r="P29" s="35">
        <v>4</v>
      </c>
      <c r="Q29" s="35">
        <v>5</v>
      </c>
      <c r="R29" s="35">
        <v>3</v>
      </c>
      <c r="S29" s="35">
        <v>4</v>
      </c>
      <c r="T29" s="254">
        <v>0.16805555555555557</v>
      </c>
      <c r="U29" s="34">
        <f>(SUM($T$9:T29)/$T$4)*100</f>
        <v>45.840407470288639</v>
      </c>
      <c r="V29" s="19" t="s">
        <v>6</v>
      </c>
      <c r="W29" s="19" t="s">
        <v>6</v>
      </c>
      <c r="X29" s="19" t="s">
        <v>6</v>
      </c>
      <c r="Y29" s="19" t="s">
        <v>6</v>
      </c>
      <c r="Z29" s="19" t="s">
        <v>6</v>
      </c>
      <c r="AA29" s="19" t="s">
        <v>6</v>
      </c>
      <c r="AB29" s="146">
        <v>2</v>
      </c>
      <c r="AC29" s="13"/>
      <c r="AD29" s="161">
        <f>R29/SUM($R$9:$R$65)</f>
        <v>1.3513513513513514E-2</v>
      </c>
      <c r="AE29" s="162">
        <f>Master_Data[[#This Row],[Imp. Level]]/SUMIF(Master_Data[Subject],Master_Data[[#This Row],[Subject]],Master_Data[Imp. Level])</f>
        <v>7.6923076923076927E-2</v>
      </c>
      <c r="AF29" s="144">
        <f>Master_Data[[#This Row],[Subjectwise weights]]*Master_Data[[#This Row],[Confidence Level]]</f>
        <v>0.15384615384615385</v>
      </c>
      <c r="AG29" s="145" t="str">
        <f>IF(AND(Master_Data[[#This Row],[Prac. Book]]="D",Master_Data[[#This Row],[GARP EOC Ques.]]="D"),"D","U")</f>
        <v>U</v>
      </c>
      <c r="AH29" s="255" t="str">
        <f>Master_Data[[#This Row],[GARP 10 Yr Papers]]</f>
        <v>U</v>
      </c>
    </row>
    <row r="30" spans="2:34" ht="27" customHeight="1" x14ac:dyDescent="0.3">
      <c r="B30" s="3">
        <v>22</v>
      </c>
      <c r="C30" s="166" t="str">
        <f ca="1">IF(Master_Data[[#This Row],[Column1]]="Done","",IF(Master_Data[[#This Row],[Column1]]=MIN(Master_Data[Column1]),"Current Week",CONCATENATE("Week ",Master_Data[[#This Row],[Column1]])))</f>
        <v>Week 14</v>
      </c>
      <c r="D30" s="3">
        <f ca="1">IF(Master_Data[[#This Row],[Cum. Undone hrs]]=0,"Done",ROUNDUP(Master_Data[[#This Row],[Cum. Undone hrs]]/Working!$C$8,0))</f>
        <v>14</v>
      </c>
      <c r="E30" s="3">
        <f ca="1">IF(OR(D30=D29,D30=D29+1),Master_Data[[#This Row],[Column1]],D30-1)</f>
        <v>14</v>
      </c>
      <c r="F30" s="11">
        <f>SUM($G$9:G30)</f>
        <v>4.2881944444444446</v>
      </c>
      <c r="G30" s="256">
        <f>IF(Master_Data[[#This Row],[Lectures]]="D","",Master_Data[[#This Row],[Duration (hh:mm)]])</f>
        <v>0.16319444444444445</v>
      </c>
      <c r="H30" s="2" t="s">
        <v>162</v>
      </c>
      <c r="I30" s="2">
        <v>26</v>
      </c>
      <c r="J30" s="2" t="s">
        <v>94</v>
      </c>
      <c r="K30" s="36" t="s">
        <v>212</v>
      </c>
      <c r="L30" s="257">
        <v>1</v>
      </c>
      <c r="M30" s="12">
        <v>9</v>
      </c>
      <c r="N30" s="35">
        <v>3</v>
      </c>
      <c r="O30" s="35">
        <v>1</v>
      </c>
      <c r="P30" s="35">
        <v>4</v>
      </c>
      <c r="Q30" s="35">
        <v>5</v>
      </c>
      <c r="R30" s="35">
        <v>3</v>
      </c>
      <c r="S30" s="35">
        <v>4</v>
      </c>
      <c r="T30" s="254">
        <v>0.16319444444444445</v>
      </c>
      <c r="U30" s="34">
        <f>(SUM($T$9:T30)/$T$4)*100</f>
        <v>47.653958944281541</v>
      </c>
      <c r="V30" s="19" t="s">
        <v>6</v>
      </c>
      <c r="W30" s="19" t="s">
        <v>6</v>
      </c>
      <c r="X30" s="19" t="s">
        <v>6</v>
      </c>
      <c r="Y30" s="19" t="s">
        <v>6</v>
      </c>
      <c r="Z30" s="19" t="s">
        <v>6</v>
      </c>
      <c r="AA30" s="19" t="s">
        <v>6</v>
      </c>
      <c r="AB30" s="146">
        <v>2</v>
      </c>
      <c r="AC30" s="13"/>
      <c r="AD30" s="161">
        <f>R30/SUM($R$9:$R$65)</f>
        <v>1.3513513513513514E-2</v>
      </c>
      <c r="AE30" s="162">
        <f>Master_Data[[#This Row],[Imp. Level]]/SUMIF(Master_Data[Subject],Master_Data[[#This Row],[Subject]],Master_Data[Imp. Level])</f>
        <v>7.6923076923076927E-2</v>
      </c>
      <c r="AF30" s="144">
        <f>Master_Data[[#This Row],[Subjectwise weights]]*Master_Data[[#This Row],[Confidence Level]]</f>
        <v>0.15384615384615385</v>
      </c>
      <c r="AG30" s="145" t="str">
        <f>IF(AND(Master_Data[[#This Row],[Prac. Book]]="D",Master_Data[[#This Row],[GARP EOC Ques.]]="D"),"D","U")</f>
        <v>U</v>
      </c>
      <c r="AH30" s="255" t="str">
        <f>Master_Data[[#This Row],[GARP 10 Yr Papers]]</f>
        <v>U</v>
      </c>
    </row>
    <row r="31" spans="2:34" ht="27" customHeight="1" x14ac:dyDescent="0.3">
      <c r="B31" s="3">
        <v>23</v>
      </c>
      <c r="C31" s="166" t="str">
        <f ca="1">IF(Master_Data[[#This Row],[Column1]]="Done","",IF(Master_Data[[#This Row],[Column1]]=MIN(Master_Data[Column1]),"Current Week",CONCATENATE("Week ",Master_Data[[#This Row],[Column1]])))</f>
        <v>Week 14</v>
      </c>
      <c r="D31" s="3">
        <f ca="1">IF(Master_Data[[#This Row],[Cum. Undone hrs]]=0,"Done",ROUNDUP(Master_Data[[#This Row],[Cum. Undone hrs]]/Working!$C$8,0))</f>
        <v>14</v>
      </c>
      <c r="E31" s="3">
        <f ca="1">IF(OR(D31=D30,D31=D30+1),Master_Data[[#This Row],[Column1]],D31-1)</f>
        <v>14</v>
      </c>
      <c r="F31" s="11">
        <f>SUM($G$9:G31)</f>
        <v>4.375694444444445</v>
      </c>
      <c r="G31" s="256">
        <f>IF(Master_Data[[#This Row],[Lectures]]="D","",Master_Data[[#This Row],[Duration (hh:mm)]])</f>
        <v>8.7499999999999994E-2</v>
      </c>
      <c r="H31" s="2" t="s">
        <v>169</v>
      </c>
      <c r="I31" s="2">
        <v>36</v>
      </c>
      <c r="J31" s="2" t="s">
        <v>95</v>
      </c>
      <c r="K31" s="36" t="s">
        <v>178</v>
      </c>
      <c r="L31" s="257">
        <v>1</v>
      </c>
      <c r="M31" s="12">
        <v>8</v>
      </c>
      <c r="N31" s="35">
        <v>4</v>
      </c>
      <c r="O31" s="35">
        <v>5</v>
      </c>
      <c r="P31" s="35">
        <v>4</v>
      </c>
      <c r="Q31" s="35">
        <v>5</v>
      </c>
      <c r="R31" s="35">
        <v>5</v>
      </c>
      <c r="S31" s="35">
        <v>4</v>
      </c>
      <c r="T31" s="254">
        <v>8.7499999999999994E-2</v>
      </c>
      <c r="U31" s="34">
        <f>(SUM($T$9:T31)/$T$4)*100</f>
        <v>48.626331223954331</v>
      </c>
      <c r="V31" s="19" t="s">
        <v>6</v>
      </c>
      <c r="W31" s="19" t="s">
        <v>6</v>
      </c>
      <c r="X31" s="19" t="s">
        <v>6</v>
      </c>
      <c r="Y31" s="19" t="s">
        <v>6</v>
      </c>
      <c r="Z31" s="19" t="s">
        <v>6</v>
      </c>
      <c r="AA31" s="19" t="s">
        <v>6</v>
      </c>
      <c r="AB31" s="146">
        <v>2</v>
      </c>
      <c r="AC31" s="13"/>
      <c r="AD31" s="161">
        <f>R31/SUM($R$9:$R$65)</f>
        <v>2.2522522522522521E-2</v>
      </c>
      <c r="AE31" s="162">
        <f>Master_Data[[#This Row],[Imp. Level]]/SUMIF(Master_Data[Subject],Master_Data[[#This Row],[Subject]],Master_Data[Imp. Level])</f>
        <v>6.25E-2</v>
      </c>
      <c r="AF31" s="144">
        <f>Master_Data[[#This Row],[Subjectwise weights]]*Master_Data[[#This Row],[Confidence Level]]</f>
        <v>0.125</v>
      </c>
      <c r="AG31" s="145" t="str">
        <f>IF(AND(Master_Data[[#This Row],[Prac. Book]]="D",Master_Data[[#This Row],[GARP EOC Ques.]]="D"),"D","U")</f>
        <v>U</v>
      </c>
      <c r="AH31" s="255" t="str">
        <f>Master_Data[[#This Row],[GARP 10 Yr Papers]]</f>
        <v>U</v>
      </c>
    </row>
    <row r="32" spans="2:34" ht="27" customHeight="1" x14ac:dyDescent="0.3">
      <c r="B32" s="3">
        <v>24</v>
      </c>
      <c r="C32" s="166" t="str">
        <f ca="1">IF(Master_Data[[#This Row],[Column1]]="Done","",IF(Master_Data[[#This Row],[Column1]]=MIN(Master_Data[Column1]),"Current Week",CONCATENATE("Week ",Master_Data[[#This Row],[Column1]])))</f>
        <v>Week 15</v>
      </c>
      <c r="D32" s="3">
        <f ca="1">IF(Master_Data[[#This Row],[Cum. Undone hrs]]=0,"Done",ROUNDUP(Master_Data[[#This Row],[Cum. Undone hrs]]/Working!$C$8,0))</f>
        <v>15</v>
      </c>
      <c r="E32" s="3">
        <f ca="1">IF(OR(D32=D31,D32=D31+1),Master_Data[[#This Row],[Column1]],D32-1)</f>
        <v>15</v>
      </c>
      <c r="F32" s="11">
        <f>SUM($G$9:G32)</f>
        <v>4.4937500000000004</v>
      </c>
      <c r="G32" s="256">
        <f>IF(Master_Data[[#This Row],[Lectures]]="D","",Master_Data[[#This Row],[Duration (hh:mm)]])</f>
        <v>0.11805555555555555</v>
      </c>
      <c r="H32" s="2" t="s">
        <v>169</v>
      </c>
      <c r="I32" s="2">
        <v>37</v>
      </c>
      <c r="J32" s="2" t="s">
        <v>95</v>
      </c>
      <c r="K32" s="36" t="s">
        <v>179</v>
      </c>
      <c r="L32" s="257">
        <v>1</v>
      </c>
      <c r="M32" s="12">
        <v>11</v>
      </c>
      <c r="N32" s="35">
        <v>4</v>
      </c>
      <c r="O32" s="35">
        <v>4</v>
      </c>
      <c r="P32" s="35">
        <v>4</v>
      </c>
      <c r="Q32" s="35">
        <v>4</v>
      </c>
      <c r="R32" s="35">
        <v>5</v>
      </c>
      <c r="S32" s="35">
        <v>5</v>
      </c>
      <c r="T32" s="254">
        <v>0.11805555555555555</v>
      </c>
      <c r="U32" s="34">
        <f>(SUM($T$9:T32)/$T$4)*100</f>
        <v>49.938262077481113</v>
      </c>
      <c r="V32" s="19" t="s">
        <v>6</v>
      </c>
      <c r="W32" s="19" t="s">
        <v>6</v>
      </c>
      <c r="X32" s="19" t="s">
        <v>6</v>
      </c>
      <c r="Y32" s="19" t="s">
        <v>6</v>
      </c>
      <c r="Z32" s="19" t="s">
        <v>6</v>
      </c>
      <c r="AA32" s="19" t="s">
        <v>6</v>
      </c>
      <c r="AB32" s="146">
        <v>3</v>
      </c>
      <c r="AC32" s="13"/>
      <c r="AD32" s="161">
        <f>R32/SUM($R$9:$R$65)</f>
        <v>2.2522522522522521E-2</v>
      </c>
      <c r="AE32" s="162">
        <f>Master_Data[[#This Row],[Imp. Level]]/SUMIF(Master_Data[Subject],Master_Data[[#This Row],[Subject]],Master_Data[Imp. Level])</f>
        <v>6.25E-2</v>
      </c>
      <c r="AF32" s="144">
        <f>Master_Data[[#This Row],[Subjectwise weights]]*Master_Data[[#This Row],[Confidence Level]]</f>
        <v>0.1875</v>
      </c>
      <c r="AG32" s="145" t="str">
        <f>IF(AND(Master_Data[[#This Row],[Prac. Book]]="D",Master_Data[[#This Row],[GARP EOC Ques.]]="D"),"D","U")</f>
        <v>U</v>
      </c>
      <c r="AH32" s="255" t="str">
        <f>Master_Data[[#This Row],[GARP 10 Yr Papers]]</f>
        <v>U</v>
      </c>
    </row>
    <row r="33" spans="2:34" ht="27" customHeight="1" x14ac:dyDescent="0.3">
      <c r="B33" s="3">
        <v>25</v>
      </c>
      <c r="C33" s="166" t="str">
        <f ca="1">IF(Master_Data[[#This Row],[Column1]]="Done","",IF(Master_Data[[#This Row],[Column1]]=MIN(Master_Data[Column1]),"Current Week",CONCATENATE("Week ",Master_Data[[#This Row],[Column1]])))</f>
        <v>Week 15</v>
      </c>
      <c r="D33" s="3">
        <f ca="1">IF(Master_Data[[#This Row],[Cum. Undone hrs]]=0,"Done",ROUNDUP(Master_Data[[#This Row],[Cum. Undone hrs]]/Working!$C$8,0))</f>
        <v>15</v>
      </c>
      <c r="E33" s="3">
        <f ca="1">IF(OR(D33=D32,D33=D32+1),Master_Data[[#This Row],[Column1]],D33-1)</f>
        <v>15</v>
      </c>
      <c r="F33" s="11">
        <f>SUM($G$9:G33)</f>
        <v>4.5548611111111112</v>
      </c>
      <c r="G33" s="256">
        <f>IF(Master_Data[[#This Row],[Lectures]]="D","",Master_Data[[#This Row],[Duration (hh:mm)]])</f>
        <v>6.1111111111111109E-2</v>
      </c>
      <c r="H33" s="2" t="s">
        <v>169</v>
      </c>
      <c r="I33" s="2">
        <v>33</v>
      </c>
      <c r="J33" s="2" t="s">
        <v>95</v>
      </c>
      <c r="K33" s="36" t="s">
        <v>180</v>
      </c>
      <c r="L33" s="257">
        <v>1</v>
      </c>
      <c r="M33" s="12">
        <v>8</v>
      </c>
      <c r="N33" s="35">
        <v>3</v>
      </c>
      <c r="O33" s="35">
        <v>3</v>
      </c>
      <c r="P33" s="35">
        <v>3</v>
      </c>
      <c r="Q33" s="35">
        <v>4</v>
      </c>
      <c r="R33" s="35">
        <v>4</v>
      </c>
      <c r="S33" s="35">
        <v>4</v>
      </c>
      <c r="T33" s="254">
        <v>6.1111111111111109E-2</v>
      </c>
      <c r="U33" s="34">
        <f>(SUM($T$9:T33)/$T$4)*100</f>
        <v>50.617379225189083</v>
      </c>
      <c r="V33" s="19" t="s">
        <v>6</v>
      </c>
      <c r="W33" s="19" t="s">
        <v>6</v>
      </c>
      <c r="X33" s="19" t="s">
        <v>6</v>
      </c>
      <c r="Y33" s="19" t="s">
        <v>6</v>
      </c>
      <c r="Z33" s="19" t="s">
        <v>6</v>
      </c>
      <c r="AA33" s="19" t="s">
        <v>6</v>
      </c>
      <c r="AB33" s="146">
        <v>3</v>
      </c>
      <c r="AC33" s="13"/>
      <c r="AD33" s="161">
        <f>R33/SUM($R$9:$R$65)</f>
        <v>1.8018018018018018E-2</v>
      </c>
      <c r="AE33" s="162">
        <f>Master_Data[[#This Row],[Imp. Level]]/SUMIF(Master_Data[Subject],Master_Data[[#This Row],[Subject]],Master_Data[Imp. Level])</f>
        <v>0.05</v>
      </c>
      <c r="AF33" s="144">
        <f>Master_Data[[#This Row],[Subjectwise weights]]*Master_Data[[#This Row],[Confidence Level]]</f>
        <v>0.15000000000000002</v>
      </c>
      <c r="AG33" s="145" t="str">
        <f>IF(AND(Master_Data[[#This Row],[Prac. Book]]="D",Master_Data[[#This Row],[GARP EOC Ques.]]="D"),"D","U")</f>
        <v>U</v>
      </c>
      <c r="AH33" s="255" t="str">
        <f>Master_Data[[#This Row],[GARP 10 Yr Papers]]</f>
        <v>U</v>
      </c>
    </row>
    <row r="34" spans="2:34" ht="27" customHeight="1" x14ac:dyDescent="0.3">
      <c r="B34" s="3">
        <v>26</v>
      </c>
      <c r="C34" s="166" t="str">
        <f ca="1">IF(Master_Data[[#This Row],[Column1]]="Done","",IF(Master_Data[[#This Row],[Column1]]=MIN(Master_Data[Column1]),"Current Week",CONCATENATE("Week ",Master_Data[[#This Row],[Column1]])))</f>
        <v>Week 15</v>
      </c>
      <c r="D34" s="3">
        <f ca="1">IF(Master_Data[[#This Row],[Cum. Undone hrs]]=0,"Done",ROUNDUP(Master_Data[[#This Row],[Cum. Undone hrs]]/Working!$C$8,0))</f>
        <v>15</v>
      </c>
      <c r="E34" s="3">
        <f ca="1">IF(OR(D34=D33,D34=D33+1),Master_Data[[#This Row],[Column1]],D34-1)</f>
        <v>15</v>
      </c>
      <c r="F34" s="11">
        <f>SUM($G$9:G34)</f>
        <v>4.6993055555555561</v>
      </c>
      <c r="G34" s="256">
        <f>IF(Master_Data[[#This Row],[Lectures]]="D","",Master_Data[[#This Row],[Duration (hh:mm)]])</f>
        <v>0.14444444444444443</v>
      </c>
      <c r="H34" s="2" t="s">
        <v>169</v>
      </c>
      <c r="I34" s="2">
        <v>34</v>
      </c>
      <c r="J34" s="2" t="s">
        <v>95</v>
      </c>
      <c r="K34" s="36" t="s">
        <v>181</v>
      </c>
      <c r="L34" s="257">
        <v>1</v>
      </c>
      <c r="M34" s="12">
        <v>8</v>
      </c>
      <c r="N34" s="35">
        <v>3</v>
      </c>
      <c r="O34" s="35">
        <v>4</v>
      </c>
      <c r="P34" s="35">
        <v>4</v>
      </c>
      <c r="Q34" s="35">
        <v>4</v>
      </c>
      <c r="R34" s="35">
        <v>5</v>
      </c>
      <c r="S34" s="35">
        <v>5</v>
      </c>
      <c r="T34" s="254">
        <v>0.14444444444444443</v>
      </c>
      <c r="U34" s="34">
        <f>(SUM($T$9:T34)/$T$4)*100</f>
        <v>52.222565210680685</v>
      </c>
      <c r="V34" s="19" t="s">
        <v>6</v>
      </c>
      <c r="W34" s="19" t="s">
        <v>6</v>
      </c>
      <c r="X34" s="19" t="s">
        <v>6</v>
      </c>
      <c r="Y34" s="19" t="s">
        <v>6</v>
      </c>
      <c r="Z34" s="19" t="s">
        <v>6</v>
      </c>
      <c r="AA34" s="19" t="s">
        <v>6</v>
      </c>
      <c r="AB34" s="146">
        <v>3</v>
      </c>
      <c r="AC34" s="13"/>
      <c r="AD34" s="161">
        <f>R34/SUM($R$9:$R$65)</f>
        <v>2.2522522522522521E-2</v>
      </c>
      <c r="AE34" s="162">
        <f>Master_Data[[#This Row],[Imp. Level]]/SUMIF(Master_Data[Subject],Master_Data[[#This Row],[Subject]],Master_Data[Imp. Level])</f>
        <v>6.25E-2</v>
      </c>
      <c r="AF34" s="144">
        <f>Master_Data[[#This Row],[Subjectwise weights]]*Master_Data[[#This Row],[Confidence Level]]</f>
        <v>0.1875</v>
      </c>
      <c r="AG34" s="145" t="str">
        <f>IF(AND(Master_Data[[#This Row],[Prac. Book]]="D",Master_Data[[#This Row],[GARP EOC Ques.]]="D"),"D","U")</f>
        <v>U</v>
      </c>
      <c r="AH34" s="255" t="str">
        <f>Master_Data[[#This Row],[GARP 10 Yr Papers]]</f>
        <v>U</v>
      </c>
    </row>
    <row r="35" spans="2:34" ht="27" customHeight="1" x14ac:dyDescent="0.3">
      <c r="B35" s="3">
        <v>27</v>
      </c>
      <c r="C35" s="166" t="str">
        <f ca="1">IF(Master_Data[[#This Row],[Column1]]="Done","",IF(Master_Data[[#This Row],[Column1]]=MIN(Master_Data[Column1]),"Current Week",CONCATENATE("Week ",Master_Data[[#This Row],[Column1]])))</f>
        <v>Week 16</v>
      </c>
      <c r="D35" s="3">
        <f ca="1">IF(Master_Data[[#This Row],[Cum. Undone hrs]]=0,"Done",ROUNDUP(Master_Data[[#This Row],[Cum. Undone hrs]]/Working!$C$8,0))</f>
        <v>16</v>
      </c>
      <c r="E35" s="3">
        <f ca="1">IF(OR(D35=D34,D35=D34+1),Master_Data[[#This Row],[Column1]],D35-1)</f>
        <v>16</v>
      </c>
      <c r="F35" s="11">
        <f>SUM($G$9:G35)</f>
        <v>4.8562500000000002</v>
      </c>
      <c r="G35" s="256">
        <f>IF(Master_Data[[#This Row],[Lectures]]="D","",Master_Data[[#This Row],[Duration (hh:mm)]])</f>
        <v>0.15694444444444444</v>
      </c>
      <c r="H35" s="2" t="s">
        <v>169</v>
      </c>
      <c r="I35" s="2">
        <v>31</v>
      </c>
      <c r="J35" s="2" t="s">
        <v>95</v>
      </c>
      <c r="K35" s="36" t="s">
        <v>182</v>
      </c>
      <c r="L35" s="257">
        <v>1</v>
      </c>
      <c r="M35" s="12">
        <v>9</v>
      </c>
      <c r="N35" s="35">
        <v>3</v>
      </c>
      <c r="O35" s="35">
        <v>3</v>
      </c>
      <c r="P35" s="35">
        <v>3</v>
      </c>
      <c r="Q35" s="35">
        <v>4</v>
      </c>
      <c r="R35" s="35">
        <v>4</v>
      </c>
      <c r="S35" s="35">
        <v>4</v>
      </c>
      <c r="T35" s="254">
        <v>0.15694444444444444</v>
      </c>
      <c r="U35" s="34">
        <f>(SUM($T$9:T35)/$T$4)*100</f>
        <v>53.966661521839811</v>
      </c>
      <c r="V35" s="19" t="s">
        <v>6</v>
      </c>
      <c r="W35" s="19" t="s">
        <v>6</v>
      </c>
      <c r="X35" s="19" t="s">
        <v>6</v>
      </c>
      <c r="Y35" s="19" t="s">
        <v>6</v>
      </c>
      <c r="Z35" s="19" t="s">
        <v>6</v>
      </c>
      <c r="AA35" s="19" t="s">
        <v>6</v>
      </c>
      <c r="AB35" s="146">
        <v>4</v>
      </c>
      <c r="AC35" s="13"/>
      <c r="AD35" s="161">
        <f>R35/SUM($R$9:$R$65)</f>
        <v>1.8018018018018018E-2</v>
      </c>
      <c r="AE35" s="162">
        <f>Master_Data[[#This Row],[Imp. Level]]/SUMIF(Master_Data[Subject],Master_Data[[#This Row],[Subject]],Master_Data[Imp. Level])</f>
        <v>0.05</v>
      </c>
      <c r="AF35" s="144">
        <f>Master_Data[[#This Row],[Subjectwise weights]]*Master_Data[[#This Row],[Confidence Level]]</f>
        <v>0.2</v>
      </c>
      <c r="AG35" s="145" t="str">
        <f>IF(AND(Master_Data[[#This Row],[Prac. Book]]="D",Master_Data[[#This Row],[GARP EOC Ques.]]="D"),"D","U")</f>
        <v>U</v>
      </c>
      <c r="AH35" s="255" t="str">
        <f>Master_Data[[#This Row],[GARP 10 Yr Papers]]</f>
        <v>U</v>
      </c>
    </row>
    <row r="36" spans="2:34" ht="27" customHeight="1" x14ac:dyDescent="0.3">
      <c r="B36" s="3">
        <v>28</v>
      </c>
      <c r="C36" s="166" t="str">
        <f ca="1">IF(Master_Data[[#This Row],[Column1]]="Done","",IF(Master_Data[[#This Row],[Column1]]=MIN(Master_Data[Column1]),"Current Week",CONCATENATE("Week ",Master_Data[[#This Row],[Column1]])))</f>
        <v>Week 16</v>
      </c>
      <c r="D36" s="3">
        <f ca="1">IF(Master_Data[[#This Row],[Cum. Undone hrs]]=0,"Done",ROUNDUP(Master_Data[[#This Row],[Cum. Undone hrs]]/Working!$C$8,0))</f>
        <v>16</v>
      </c>
      <c r="E36" s="3">
        <f ca="1">IF(OR(D36=D35,D36=D35+1),Master_Data[[#This Row],[Column1]],D36-1)</f>
        <v>16</v>
      </c>
      <c r="F36" s="11">
        <f>SUM($G$9:G36)</f>
        <v>4.9541666666666666</v>
      </c>
      <c r="G36" s="256">
        <f>IF(Master_Data[[#This Row],[Lectures]]="D","",Master_Data[[#This Row],[Duration (hh:mm)]])</f>
        <v>9.7916666666666666E-2</v>
      </c>
      <c r="H36" s="2" t="s">
        <v>169</v>
      </c>
      <c r="I36" s="2">
        <v>32</v>
      </c>
      <c r="J36" s="2" t="s">
        <v>95</v>
      </c>
      <c r="K36" s="36" t="s">
        <v>183</v>
      </c>
      <c r="L36" s="257">
        <v>1</v>
      </c>
      <c r="M36" s="12">
        <v>9</v>
      </c>
      <c r="N36" s="35">
        <v>2</v>
      </c>
      <c r="O36" s="35">
        <v>1</v>
      </c>
      <c r="P36" s="35">
        <v>3</v>
      </c>
      <c r="Q36" s="35">
        <v>4</v>
      </c>
      <c r="R36" s="35">
        <v>3</v>
      </c>
      <c r="S36" s="35">
        <v>4</v>
      </c>
      <c r="T36" s="254">
        <v>9.7916666666666666E-2</v>
      </c>
      <c r="U36" s="34">
        <f>(SUM($T$9:T36)/$T$4)*100</f>
        <v>55.054792406235542</v>
      </c>
      <c r="V36" s="19" t="s">
        <v>6</v>
      </c>
      <c r="W36" s="19" t="s">
        <v>6</v>
      </c>
      <c r="X36" s="19" t="s">
        <v>6</v>
      </c>
      <c r="Y36" s="19" t="s">
        <v>6</v>
      </c>
      <c r="Z36" s="19" t="s">
        <v>6</v>
      </c>
      <c r="AA36" s="19" t="s">
        <v>6</v>
      </c>
      <c r="AB36" s="146">
        <v>5</v>
      </c>
      <c r="AC36" s="13"/>
      <c r="AD36" s="161">
        <f>R36/SUM($R$9:$R$65)</f>
        <v>1.3513513513513514E-2</v>
      </c>
      <c r="AE36" s="162">
        <f>Master_Data[[#This Row],[Imp. Level]]/SUMIF(Master_Data[Subject],Master_Data[[#This Row],[Subject]],Master_Data[Imp. Level])</f>
        <v>3.7499999999999999E-2</v>
      </c>
      <c r="AF36" s="144">
        <f>Master_Data[[#This Row],[Subjectwise weights]]*Master_Data[[#This Row],[Confidence Level]]</f>
        <v>0.1875</v>
      </c>
      <c r="AG36" s="145" t="str">
        <f>IF(AND(Master_Data[[#This Row],[Prac. Book]]="D",Master_Data[[#This Row],[GARP EOC Ques.]]="D"),"D","U")</f>
        <v>U</v>
      </c>
      <c r="AH36" s="255" t="str">
        <f>Master_Data[[#This Row],[GARP 10 Yr Papers]]</f>
        <v>U</v>
      </c>
    </row>
    <row r="37" spans="2:34" ht="27" customHeight="1" x14ac:dyDescent="0.3">
      <c r="B37" s="3">
        <v>29</v>
      </c>
      <c r="C37" s="166" t="str">
        <f ca="1">IF(Master_Data[[#This Row],[Column1]]="Done","",IF(Master_Data[[#This Row],[Column1]]=MIN(Master_Data[Column1]),"Current Week",CONCATENATE("Week ",Master_Data[[#This Row],[Column1]])))</f>
        <v>Week 16</v>
      </c>
      <c r="D37" s="3">
        <f ca="1">IF(Master_Data[[#This Row],[Cum. Undone hrs]]=0,"Done",ROUNDUP(Master_Data[[#This Row],[Cum. Undone hrs]]/Working!$C$8,0))</f>
        <v>16</v>
      </c>
      <c r="E37" s="3">
        <f ca="1">IF(OR(D37=D36,D37=D36+1),Master_Data[[#This Row],[Column1]],D37-1)</f>
        <v>16</v>
      </c>
      <c r="F37" s="11">
        <f>SUM($G$9:G37)</f>
        <v>5.0854166666666663</v>
      </c>
      <c r="G37" s="256">
        <f>IF(Master_Data[[#This Row],[Lectures]]="D","",Master_Data[[#This Row],[Duration (hh:mm)]])</f>
        <v>0.13125000000000001</v>
      </c>
      <c r="H37" s="2" t="s">
        <v>169</v>
      </c>
      <c r="I37" s="2">
        <v>40</v>
      </c>
      <c r="J37" s="2" t="s">
        <v>95</v>
      </c>
      <c r="K37" s="36" t="s">
        <v>184</v>
      </c>
      <c r="L37" s="257">
        <v>1</v>
      </c>
      <c r="M37" s="12">
        <v>4</v>
      </c>
      <c r="N37" s="35">
        <v>4</v>
      </c>
      <c r="O37" s="35">
        <v>5</v>
      </c>
      <c r="P37" s="35">
        <v>4</v>
      </c>
      <c r="Q37" s="35">
        <v>5</v>
      </c>
      <c r="R37" s="35">
        <v>4</v>
      </c>
      <c r="S37" s="35">
        <v>4</v>
      </c>
      <c r="T37" s="254">
        <v>0.13125000000000001</v>
      </c>
      <c r="U37" s="34">
        <f>(SUM($T$9:T37)/$T$4)*100</f>
        <v>56.513350825744723</v>
      </c>
      <c r="V37" s="19" t="s">
        <v>6</v>
      </c>
      <c r="W37" s="19" t="s">
        <v>6</v>
      </c>
      <c r="X37" s="19" t="s">
        <v>6</v>
      </c>
      <c r="Y37" s="19" t="s">
        <v>6</v>
      </c>
      <c r="Z37" s="19" t="s">
        <v>6</v>
      </c>
      <c r="AA37" s="19" t="s">
        <v>6</v>
      </c>
      <c r="AB37" s="146">
        <v>2</v>
      </c>
      <c r="AC37" s="13"/>
      <c r="AD37" s="161">
        <f>R37/SUM($R$9:$R$65)</f>
        <v>1.8018018018018018E-2</v>
      </c>
      <c r="AE37" s="162">
        <f>Master_Data[[#This Row],[Imp. Level]]/SUMIF(Master_Data[Subject],Master_Data[[#This Row],[Subject]],Master_Data[Imp. Level])</f>
        <v>0.05</v>
      </c>
      <c r="AF37" s="144">
        <f>Master_Data[[#This Row],[Subjectwise weights]]*Master_Data[[#This Row],[Confidence Level]]</f>
        <v>0.1</v>
      </c>
      <c r="AG37" s="145" t="str">
        <f>IF(AND(Master_Data[[#This Row],[Prac. Book]]="D",Master_Data[[#This Row],[GARP EOC Ques.]]="D"),"D","U")</f>
        <v>U</v>
      </c>
      <c r="AH37" s="255" t="str">
        <f>Master_Data[[#This Row],[GARP 10 Yr Papers]]</f>
        <v>U</v>
      </c>
    </row>
    <row r="38" spans="2:34" ht="27" customHeight="1" x14ac:dyDescent="0.3">
      <c r="B38" s="3">
        <v>30</v>
      </c>
      <c r="C38" s="166" t="str">
        <f ca="1">IF(Master_Data[[#This Row],[Column1]]="Done","",IF(Master_Data[[#This Row],[Column1]]=MIN(Master_Data[Column1]),"Current Week",CONCATENATE("Week ",Master_Data[[#This Row],[Column1]])))</f>
        <v>Week 17</v>
      </c>
      <c r="D38" s="3">
        <f ca="1">IF(Master_Data[[#This Row],[Cum. Undone hrs]]=0,"Done",ROUNDUP(Master_Data[[#This Row],[Cum. Undone hrs]]/Working!$C$8,0))</f>
        <v>17</v>
      </c>
      <c r="E38" s="3">
        <f ca="1">IF(OR(D38=D37,D38=D37+1),Master_Data[[#This Row],[Column1]],D38-1)</f>
        <v>17</v>
      </c>
      <c r="F38" s="11">
        <f>SUM($G$9:G38)</f>
        <v>5.1597222222222214</v>
      </c>
      <c r="G38" s="256">
        <f>IF(Master_Data[[#This Row],[Lectures]]="D","",Master_Data[[#This Row],[Duration (hh:mm)]])</f>
        <v>7.4305555555555555E-2</v>
      </c>
      <c r="H38" s="2" t="s">
        <v>185</v>
      </c>
      <c r="I38" s="2">
        <v>60</v>
      </c>
      <c r="J38" s="2" t="s">
        <v>95</v>
      </c>
      <c r="K38" s="36" t="s">
        <v>186</v>
      </c>
      <c r="L38" s="257">
        <v>1</v>
      </c>
      <c r="M38" s="12">
        <v>5</v>
      </c>
      <c r="N38" s="35">
        <v>3</v>
      </c>
      <c r="O38" s="35">
        <v>5</v>
      </c>
      <c r="P38" s="35">
        <v>4</v>
      </c>
      <c r="Q38" s="35">
        <v>5</v>
      </c>
      <c r="R38" s="35">
        <v>5</v>
      </c>
      <c r="S38" s="35">
        <v>4</v>
      </c>
      <c r="T38" s="254">
        <v>7.4305555555555555E-2</v>
      </c>
      <c r="U38" s="34">
        <f>(SUM($T$9:T38)/$T$4)*100</f>
        <v>57.339095539435107</v>
      </c>
      <c r="V38" s="19" t="s">
        <v>6</v>
      </c>
      <c r="W38" s="19" t="s">
        <v>6</v>
      </c>
      <c r="X38" s="19" t="s">
        <v>6</v>
      </c>
      <c r="Y38" s="19" t="s">
        <v>6</v>
      </c>
      <c r="Z38" s="19" t="s">
        <v>6</v>
      </c>
      <c r="AA38" s="19" t="s">
        <v>6</v>
      </c>
      <c r="AB38" s="146">
        <v>2</v>
      </c>
      <c r="AC38" s="13"/>
      <c r="AD38" s="161">
        <f>R38/SUM($R$9:$R$65)</f>
        <v>2.2522522522522521E-2</v>
      </c>
      <c r="AE38" s="162">
        <f>Master_Data[[#This Row],[Imp. Level]]/SUMIF(Master_Data[Subject],Master_Data[[#This Row],[Subject]],Master_Data[Imp. Level])</f>
        <v>7.8125E-2</v>
      </c>
      <c r="AF38" s="144">
        <f>Master_Data[[#This Row],[Subjectwise weights]]*Master_Data[[#This Row],[Confidence Level]]</f>
        <v>0.15625</v>
      </c>
      <c r="AG38" s="145" t="str">
        <f>IF(AND(Master_Data[[#This Row],[Prac. Book]]="D",Master_Data[[#This Row],[GARP EOC Ques.]]="D"),"D","U")</f>
        <v>U</v>
      </c>
      <c r="AH38" s="255" t="str">
        <f>Master_Data[[#This Row],[GARP 10 Yr Papers]]</f>
        <v>U</v>
      </c>
    </row>
    <row r="39" spans="2:34" ht="27" customHeight="1" x14ac:dyDescent="0.3">
      <c r="B39" s="3">
        <v>31</v>
      </c>
      <c r="C39" s="166" t="str">
        <f ca="1">IF(Master_Data[[#This Row],[Column1]]="Done","",IF(Master_Data[[#This Row],[Column1]]=MIN(Master_Data[Column1]),"Current Week",CONCATENATE("Week ",Master_Data[[#This Row],[Column1]])))</f>
        <v>Week 17</v>
      </c>
      <c r="D39" s="3">
        <f ca="1">IF(Master_Data[[#This Row],[Cum. Undone hrs]]=0,"Done",ROUNDUP(Master_Data[[#This Row],[Cum. Undone hrs]]/Working!$C$8,0))</f>
        <v>17</v>
      </c>
      <c r="E39" s="3">
        <f ca="1">IF(OR(D39=D38,D39=D38+1),Master_Data[[#This Row],[Column1]],D39-1)</f>
        <v>17</v>
      </c>
      <c r="F39" s="11">
        <f>SUM($G$9:G39)</f>
        <v>5.2652777777777766</v>
      </c>
      <c r="G39" s="256">
        <f>IF(Master_Data[[#This Row],[Lectures]]="D","",Master_Data[[#This Row],[Duration (hh:mm)]])</f>
        <v>0.10555555555555556</v>
      </c>
      <c r="H39" s="2" t="s">
        <v>185</v>
      </c>
      <c r="I39" s="2">
        <v>61</v>
      </c>
      <c r="J39" s="2" t="s">
        <v>95</v>
      </c>
      <c r="K39" s="36" t="s">
        <v>224</v>
      </c>
      <c r="L39" s="257">
        <v>1</v>
      </c>
      <c r="M39" s="12">
        <v>8</v>
      </c>
      <c r="N39" s="35">
        <v>3</v>
      </c>
      <c r="O39" s="35">
        <v>5</v>
      </c>
      <c r="P39" s="35">
        <v>5</v>
      </c>
      <c r="Q39" s="35">
        <v>5</v>
      </c>
      <c r="R39" s="35">
        <v>5</v>
      </c>
      <c r="S39" s="35">
        <v>4</v>
      </c>
      <c r="T39" s="254">
        <v>0.10555555555555556</v>
      </c>
      <c r="U39" s="34">
        <f>(SUM($T$9:T39)/$T$4)*100</f>
        <v>58.512116067294343</v>
      </c>
      <c r="V39" s="19" t="s">
        <v>6</v>
      </c>
      <c r="W39" s="19" t="s">
        <v>6</v>
      </c>
      <c r="X39" s="19" t="s">
        <v>6</v>
      </c>
      <c r="Y39" s="19" t="s">
        <v>6</v>
      </c>
      <c r="Z39" s="19" t="s">
        <v>6</v>
      </c>
      <c r="AA39" s="19" t="s">
        <v>6</v>
      </c>
      <c r="AB39" s="146">
        <v>2</v>
      </c>
      <c r="AC39" s="13"/>
      <c r="AD39" s="161">
        <f>R39/SUM($R$9:$R$65)</f>
        <v>2.2522522522522521E-2</v>
      </c>
      <c r="AE39" s="162">
        <f>Master_Data[[#This Row],[Imp. Level]]/SUMIF(Master_Data[Subject],Master_Data[[#This Row],[Subject]],Master_Data[Imp. Level])</f>
        <v>7.8125E-2</v>
      </c>
      <c r="AF39" s="144">
        <f>Master_Data[[#This Row],[Subjectwise weights]]*Master_Data[[#This Row],[Confidence Level]]</f>
        <v>0.15625</v>
      </c>
      <c r="AG39" s="145" t="str">
        <f>IF(AND(Master_Data[[#This Row],[Prac. Book]]="D",Master_Data[[#This Row],[GARP EOC Ques.]]="D"),"D","U")</f>
        <v>U</v>
      </c>
      <c r="AH39" s="255" t="str">
        <f>Master_Data[[#This Row],[GARP 10 Yr Papers]]</f>
        <v>U</v>
      </c>
    </row>
    <row r="40" spans="2:34" ht="27" customHeight="1" x14ac:dyDescent="0.3">
      <c r="B40" s="3">
        <v>32</v>
      </c>
      <c r="C40" s="166" t="str">
        <f ca="1">IF(Master_Data[[#This Row],[Column1]]="Done","",IF(Master_Data[[#This Row],[Column1]]=MIN(Master_Data[Column1]),"Current Week",CONCATENATE("Week ",Master_Data[[#This Row],[Column1]])))</f>
        <v>Week 18</v>
      </c>
      <c r="D40" s="3">
        <f ca="1">IF(Master_Data[[#This Row],[Cum. Undone hrs]]=0,"Done",ROUNDUP(Master_Data[[#This Row],[Cum. Undone hrs]]/Working!$C$8,0))</f>
        <v>18</v>
      </c>
      <c r="E40" s="3">
        <f ca="1">IF(OR(D40=D39,D40=D39+1),Master_Data[[#This Row],[Column1]],D40-1)</f>
        <v>18</v>
      </c>
      <c r="F40" s="11">
        <f>SUM($G$9:G40)</f>
        <v>5.4208333333333325</v>
      </c>
      <c r="G40" s="256">
        <f>IF(Master_Data[[#This Row],[Lectures]]="D","",Master_Data[[#This Row],[Duration (hh:mm)]])</f>
        <v>0.15555555555555556</v>
      </c>
      <c r="H40" s="2" t="s">
        <v>185</v>
      </c>
      <c r="I40" s="2">
        <v>62</v>
      </c>
      <c r="J40" s="2" t="s">
        <v>94</v>
      </c>
      <c r="K40" s="36" t="s">
        <v>225</v>
      </c>
      <c r="L40" s="257">
        <v>1</v>
      </c>
      <c r="M40" s="12">
        <v>9</v>
      </c>
      <c r="N40" s="35">
        <v>4</v>
      </c>
      <c r="O40" s="35">
        <v>3</v>
      </c>
      <c r="P40" s="35">
        <v>5</v>
      </c>
      <c r="Q40" s="35">
        <v>5</v>
      </c>
      <c r="R40" s="35">
        <v>5</v>
      </c>
      <c r="S40" s="35">
        <v>5</v>
      </c>
      <c r="T40" s="254">
        <v>0.15555555555555556</v>
      </c>
      <c r="U40" s="34">
        <f>(SUM($T$9:T40)/$T$4)*100</f>
        <v>60.240777897823747</v>
      </c>
      <c r="V40" s="19" t="s">
        <v>6</v>
      </c>
      <c r="W40" s="19" t="s">
        <v>6</v>
      </c>
      <c r="X40" s="19" t="s">
        <v>6</v>
      </c>
      <c r="Y40" s="19" t="s">
        <v>6</v>
      </c>
      <c r="Z40" s="19" t="s">
        <v>6</v>
      </c>
      <c r="AA40" s="19" t="s">
        <v>6</v>
      </c>
      <c r="AB40" s="146">
        <v>3</v>
      </c>
      <c r="AC40" s="13"/>
      <c r="AD40" s="161">
        <f>R40/SUM($R$9:$R$65)</f>
        <v>2.2522522522522521E-2</v>
      </c>
      <c r="AE40" s="162">
        <f>Master_Data[[#This Row],[Imp. Level]]/SUMIF(Master_Data[Subject],Master_Data[[#This Row],[Subject]],Master_Data[Imp. Level])</f>
        <v>7.8125E-2</v>
      </c>
      <c r="AF40" s="144">
        <f>Master_Data[[#This Row],[Subjectwise weights]]*Master_Data[[#This Row],[Confidence Level]]</f>
        <v>0.234375</v>
      </c>
      <c r="AG40" s="145" t="str">
        <f>IF(AND(Master_Data[[#This Row],[Prac. Book]]="D",Master_Data[[#This Row],[GARP EOC Ques.]]="D"),"D","U")</f>
        <v>U</v>
      </c>
      <c r="AH40" s="255" t="str">
        <f>Master_Data[[#This Row],[GARP 10 Yr Papers]]</f>
        <v>U</v>
      </c>
    </row>
    <row r="41" spans="2:34" ht="27" customHeight="1" x14ac:dyDescent="0.3">
      <c r="B41" s="3">
        <v>33</v>
      </c>
      <c r="C41" s="166" t="str">
        <f ca="1">IF(Master_Data[[#This Row],[Column1]]="Done","",IF(Master_Data[[#This Row],[Column1]]=MIN(Master_Data[Column1]),"Current Week",CONCATENATE("Week ",Master_Data[[#This Row],[Column1]])))</f>
        <v>Week 18</v>
      </c>
      <c r="D41" s="3">
        <f ca="1">IF(Master_Data[[#This Row],[Cum. Undone hrs]]=0,"Done",ROUNDUP(Master_Data[[#This Row],[Cum. Undone hrs]]/Working!$C$8,0))</f>
        <v>18</v>
      </c>
      <c r="E41" s="3">
        <f ca="1">IF(OR(D41=D40,D41=D40+1),Master_Data[[#This Row],[Column1]],D41-1)</f>
        <v>18</v>
      </c>
      <c r="F41" s="11">
        <f>SUM($G$9:G41)</f>
        <v>5.5173611111111107</v>
      </c>
      <c r="G41" s="256">
        <f>IF(Master_Data[[#This Row],[Lectures]]="D","",Master_Data[[#This Row],[Duration (hh:mm)]])</f>
        <v>9.6527777777777782E-2</v>
      </c>
      <c r="H41" s="2" t="s">
        <v>169</v>
      </c>
      <c r="I41" s="2">
        <v>41</v>
      </c>
      <c r="J41" s="2" t="s">
        <v>95</v>
      </c>
      <c r="K41" s="36" t="s">
        <v>187</v>
      </c>
      <c r="L41" s="257">
        <v>1</v>
      </c>
      <c r="M41" s="12">
        <v>7</v>
      </c>
      <c r="N41" s="35">
        <v>4</v>
      </c>
      <c r="O41" s="35">
        <v>3</v>
      </c>
      <c r="P41" s="35">
        <v>5</v>
      </c>
      <c r="Q41" s="35">
        <v>5</v>
      </c>
      <c r="R41" s="35">
        <v>3</v>
      </c>
      <c r="S41" s="35">
        <v>4</v>
      </c>
      <c r="T41" s="254">
        <v>9.6527777777777782E-2</v>
      </c>
      <c r="U41" s="34">
        <f>(SUM($T$9:T41)/$T$4)*100</f>
        <v>61.313474301589764</v>
      </c>
      <c r="V41" s="19" t="s">
        <v>6</v>
      </c>
      <c r="W41" s="19" t="s">
        <v>6</v>
      </c>
      <c r="X41" s="19" t="s">
        <v>6</v>
      </c>
      <c r="Y41" s="19" t="s">
        <v>6</v>
      </c>
      <c r="Z41" s="19" t="s">
        <v>6</v>
      </c>
      <c r="AA41" s="19" t="s">
        <v>6</v>
      </c>
      <c r="AB41" s="146">
        <v>2</v>
      </c>
      <c r="AC41" s="13"/>
      <c r="AD41" s="161">
        <f>R41/SUM($R$9:$R$65)</f>
        <v>1.3513513513513514E-2</v>
      </c>
      <c r="AE41" s="162">
        <f>Master_Data[[#This Row],[Imp. Level]]/SUMIF(Master_Data[Subject],Master_Data[[#This Row],[Subject]],Master_Data[Imp. Level])</f>
        <v>3.7499999999999999E-2</v>
      </c>
      <c r="AF41" s="144">
        <f>Master_Data[[#This Row],[Subjectwise weights]]*Master_Data[[#This Row],[Confidence Level]]</f>
        <v>7.4999999999999997E-2</v>
      </c>
      <c r="AG41" s="145" t="str">
        <f>IF(AND(Master_Data[[#This Row],[Prac. Book]]="D",Master_Data[[#This Row],[GARP EOC Ques.]]="D"),"D","U")</f>
        <v>U</v>
      </c>
      <c r="AH41" s="255" t="str">
        <f>Master_Data[[#This Row],[GARP 10 Yr Papers]]</f>
        <v>U</v>
      </c>
    </row>
    <row r="42" spans="2:34" ht="27" customHeight="1" x14ac:dyDescent="0.3">
      <c r="B42" s="3">
        <v>34</v>
      </c>
      <c r="C42" s="166" t="str">
        <f ca="1">IF(Master_Data[[#This Row],[Column1]]="Done","",IF(Master_Data[[#This Row],[Column1]]=MIN(Master_Data[Column1]),"Current Week",CONCATENATE("Week ",Master_Data[[#This Row],[Column1]])))</f>
        <v>Week 18</v>
      </c>
      <c r="D42" s="3">
        <f ca="1">IF(Master_Data[[#This Row],[Cum. Undone hrs]]=0,"Done",ROUNDUP(Master_Data[[#This Row],[Cum. Undone hrs]]/Working!$C$8,0))</f>
        <v>18</v>
      </c>
      <c r="E42" s="3">
        <f ca="1">IF(OR(D42=D41,D42=D41+1),Master_Data[[#This Row],[Column1]],D42-1)</f>
        <v>18</v>
      </c>
      <c r="F42" s="11">
        <f>SUM($G$9:G42)</f>
        <v>5.5555555555555554</v>
      </c>
      <c r="G42" s="256">
        <f>IF(Master_Data[[#This Row],[Lectures]]="D","",Master_Data[[#This Row],[Duration (hh:mm)]])</f>
        <v>3.8194444444444448E-2</v>
      </c>
      <c r="H42" s="2" t="s">
        <v>163</v>
      </c>
      <c r="I42" s="2">
        <v>11</v>
      </c>
      <c r="J42" s="2" t="s">
        <v>95</v>
      </c>
      <c r="K42" s="36" t="s">
        <v>188</v>
      </c>
      <c r="L42" s="257">
        <v>1</v>
      </c>
      <c r="M42" s="12">
        <v>2</v>
      </c>
      <c r="N42" s="35">
        <v>2</v>
      </c>
      <c r="O42" s="35">
        <v>1</v>
      </c>
      <c r="P42" s="35">
        <v>2</v>
      </c>
      <c r="Q42" s="35">
        <v>3</v>
      </c>
      <c r="R42" s="35">
        <v>4</v>
      </c>
      <c r="S42" s="35">
        <v>4</v>
      </c>
      <c r="T42" s="254">
        <v>3.8194444444444448E-2</v>
      </c>
      <c r="U42" s="34">
        <f>(SUM($T$9:T42)/$T$4)*100</f>
        <v>61.737922518907254</v>
      </c>
      <c r="V42" s="19" t="s">
        <v>6</v>
      </c>
      <c r="W42" s="19" t="s">
        <v>6</v>
      </c>
      <c r="X42" s="19" t="s">
        <v>6</v>
      </c>
      <c r="Y42" s="19" t="s">
        <v>6</v>
      </c>
      <c r="Z42" s="19" t="s">
        <v>6</v>
      </c>
      <c r="AA42" s="19" t="s">
        <v>6</v>
      </c>
      <c r="AB42" s="146">
        <v>3</v>
      </c>
      <c r="AC42" s="13"/>
      <c r="AD42" s="161">
        <f>R42/SUM($R$9:$R$65)</f>
        <v>1.8018018018018018E-2</v>
      </c>
      <c r="AE42" s="162">
        <f>Master_Data[[#This Row],[Imp. Level]]/SUMIF(Master_Data[Subject],Master_Data[[#This Row],[Subject]],Master_Data[Imp. Level])</f>
        <v>0.10256410256410256</v>
      </c>
      <c r="AF42" s="144">
        <f>Master_Data[[#This Row],[Subjectwise weights]]*Master_Data[[#This Row],[Confidence Level]]</f>
        <v>0.30769230769230771</v>
      </c>
      <c r="AG42" s="145" t="str">
        <f>IF(AND(Master_Data[[#This Row],[Prac. Book]]="D",Master_Data[[#This Row],[GARP EOC Ques.]]="D"),"D","U")</f>
        <v>U</v>
      </c>
      <c r="AH42" s="255" t="str">
        <f>Master_Data[[#This Row],[GARP 10 Yr Papers]]</f>
        <v>U</v>
      </c>
    </row>
    <row r="43" spans="2:34" ht="27" customHeight="1" x14ac:dyDescent="0.3">
      <c r="B43" s="3">
        <v>35</v>
      </c>
      <c r="C43" s="166" t="str">
        <f ca="1">IF(Master_Data[[#This Row],[Column1]]="Done","",IF(Master_Data[[#This Row],[Column1]]=MIN(Master_Data[Column1]),"Current Week",CONCATENATE("Week ",Master_Data[[#This Row],[Column1]])))</f>
        <v>Week 18</v>
      </c>
      <c r="D43" s="3">
        <f ca="1">IF(Master_Data[[#This Row],[Cum. Undone hrs]]=0,"Done",ROUNDUP(Master_Data[[#This Row],[Cum. Undone hrs]]/Working!$C$8,0))</f>
        <v>18</v>
      </c>
      <c r="E43" s="3">
        <f ca="1">IF(OR(D43=D42,D43=D42+1),Master_Data[[#This Row],[Column1]],D43-1)</f>
        <v>18</v>
      </c>
      <c r="F43" s="11">
        <f>SUM($G$9:G43)</f>
        <v>5.6076388888888884</v>
      </c>
      <c r="G43" s="256">
        <f>IF(Master_Data[[#This Row],[Lectures]]="D","",Master_Data[[#This Row],[Duration (hh:mm)]])</f>
        <v>5.2083333333333336E-2</v>
      </c>
      <c r="H43" s="2" t="s">
        <v>163</v>
      </c>
      <c r="I43" s="2">
        <v>7</v>
      </c>
      <c r="J43" s="2" t="s">
        <v>95</v>
      </c>
      <c r="K43" s="36" t="s">
        <v>189</v>
      </c>
      <c r="L43" s="257">
        <v>1</v>
      </c>
      <c r="M43" s="12">
        <v>4</v>
      </c>
      <c r="N43" s="35">
        <v>2</v>
      </c>
      <c r="O43" s="35">
        <v>1</v>
      </c>
      <c r="P43" s="35">
        <v>2</v>
      </c>
      <c r="Q43" s="35">
        <v>4</v>
      </c>
      <c r="R43" s="35">
        <v>2</v>
      </c>
      <c r="S43" s="35">
        <v>3</v>
      </c>
      <c r="T43" s="254">
        <v>5.2083333333333336E-2</v>
      </c>
      <c r="U43" s="34">
        <f>(SUM($T$9:T43)/$T$4)*100</f>
        <v>62.316715542522005</v>
      </c>
      <c r="V43" s="19" t="s">
        <v>6</v>
      </c>
      <c r="W43" s="19" t="s">
        <v>6</v>
      </c>
      <c r="X43" s="19" t="s">
        <v>6</v>
      </c>
      <c r="Y43" s="19" t="s">
        <v>6</v>
      </c>
      <c r="Z43" s="19" t="s">
        <v>6</v>
      </c>
      <c r="AA43" s="19" t="s">
        <v>6</v>
      </c>
      <c r="AB43" s="146">
        <v>3</v>
      </c>
      <c r="AC43" s="13"/>
      <c r="AD43" s="161">
        <f>R43/SUM($R$9:$R$65)</f>
        <v>9.0090090090090089E-3</v>
      </c>
      <c r="AE43" s="162">
        <f>Master_Data[[#This Row],[Imp. Level]]/SUMIF(Master_Data[Subject],Master_Data[[#This Row],[Subject]],Master_Data[Imp. Level])</f>
        <v>5.128205128205128E-2</v>
      </c>
      <c r="AF43" s="144">
        <f>Master_Data[[#This Row],[Subjectwise weights]]*Master_Data[[#This Row],[Confidence Level]]</f>
        <v>0.15384615384615385</v>
      </c>
      <c r="AG43" s="145" t="str">
        <f>IF(AND(Master_Data[[#This Row],[Prac. Book]]="D",Master_Data[[#This Row],[GARP EOC Ques.]]="D"),"D","U")</f>
        <v>U</v>
      </c>
      <c r="AH43" s="255" t="str">
        <f>Master_Data[[#This Row],[GARP 10 Yr Papers]]</f>
        <v>U</v>
      </c>
    </row>
    <row r="44" spans="2:34" ht="27" customHeight="1" x14ac:dyDescent="0.3">
      <c r="B44" s="3">
        <v>36</v>
      </c>
      <c r="C44" s="166" t="str">
        <f ca="1">IF(Master_Data[[#This Row],[Column1]]="Done","",IF(Master_Data[[#This Row],[Column1]]=MIN(Master_Data[Column1]),"Current Week",CONCATENATE("Week ",Master_Data[[#This Row],[Column1]])))</f>
        <v>Week 18</v>
      </c>
      <c r="D44" s="3">
        <f ca="1">IF(Master_Data[[#This Row],[Cum. Undone hrs]]=0,"Done",ROUNDUP(Master_Data[[#This Row],[Cum. Undone hrs]]/Working!$C$8,0))</f>
        <v>18</v>
      </c>
      <c r="E44" s="3">
        <f ca="1">IF(OR(D44=D43,D44=D43+1),Master_Data[[#This Row],[Column1]],D44-1)</f>
        <v>18</v>
      </c>
      <c r="F44" s="11">
        <f>SUM($G$9:G44)</f>
        <v>5.6791666666666663</v>
      </c>
      <c r="G44" s="256">
        <f>IF(Master_Data[[#This Row],[Lectures]]="D","",Master_Data[[#This Row],[Duration (hh:mm)]])</f>
        <v>7.1527777777777773E-2</v>
      </c>
      <c r="H44" s="2" t="s">
        <v>169</v>
      </c>
      <c r="I44" s="2">
        <v>42</v>
      </c>
      <c r="J44" s="2" t="s">
        <v>95</v>
      </c>
      <c r="K44" s="36" t="s">
        <v>190</v>
      </c>
      <c r="L44" s="257">
        <v>1</v>
      </c>
      <c r="M44" s="12">
        <v>11</v>
      </c>
      <c r="N44" s="35">
        <v>3</v>
      </c>
      <c r="O44" s="35">
        <v>4</v>
      </c>
      <c r="P44" s="35">
        <v>4</v>
      </c>
      <c r="Q44" s="35">
        <v>5</v>
      </c>
      <c r="R44" s="35">
        <v>5</v>
      </c>
      <c r="S44" s="35">
        <v>4</v>
      </c>
      <c r="T44" s="254">
        <v>7.1527777777777773E-2</v>
      </c>
      <c r="U44" s="34">
        <f>(SUM($T$9:T44)/$T$4)*100</f>
        <v>63.111591294952937</v>
      </c>
      <c r="V44" s="19" t="s">
        <v>6</v>
      </c>
      <c r="W44" s="19" t="s">
        <v>6</v>
      </c>
      <c r="X44" s="19" t="s">
        <v>6</v>
      </c>
      <c r="Y44" s="19" t="s">
        <v>6</v>
      </c>
      <c r="Z44" s="19" t="s">
        <v>6</v>
      </c>
      <c r="AA44" s="19" t="s">
        <v>6</v>
      </c>
      <c r="AB44" s="146">
        <v>3</v>
      </c>
      <c r="AC44" s="13"/>
      <c r="AD44" s="161">
        <f>R44/SUM($R$9:$R$65)</f>
        <v>2.2522522522522521E-2</v>
      </c>
      <c r="AE44" s="162">
        <f>Master_Data[[#This Row],[Imp. Level]]/SUMIF(Master_Data[Subject],Master_Data[[#This Row],[Subject]],Master_Data[Imp. Level])</f>
        <v>6.25E-2</v>
      </c>
      <c r="AF44" s="144">
        <f>Master_Data[[#This Row],[Subjectwise weights]]*Master_Data[[#This Row],[Confidence Level]]</f>
        <v>0.1875</v>
      </c>
      <c r="AG44" s="145" t="str">
        <f>IF(AND(Master_Data[[#This Row],[Prac. Book]]="D",Master_Data[[#This Row],[GARP EOC Ques.]]="D"),"D","U")</f>
        <v>U</v>
      </c>
      <c r="AH44" s="255" t="str">
        <f>Master_Data[[#This Row],[GARP 10 Yr Papers]]</f>
        <v>U</v>
      </c>
    </row>
    <row r="45" spans="2:34" ht="27" customHeight="1" x14ac:dyDescent="0.3">
      <c r="B45" s="3">
        <v>37</v>
      </c>
      <c r="C45" s="166" t="str">
        <f ca="1">IF(Master_Data[[#This Row],[Column1]]="Done","",IF(Master_Data[[#This Row],[Column1]]=MIN(Master_Data[Column1]),"Current Week",CONCATENATE("Week ",Master_Data[[#This Row],[Column1]])))</f>
        <v>Week 19</v>
      </c>
      <c r="D45" s="3">
        <f ca="1">IF(Master_Data[[#This Row],[Cum. Undone hrs]]=0,"Done",ROUNDUP(Master_Data[[#This Row],[Cum. Undone hrs]]/Working!$C$8,0))</f>
        <v>19</v>
      </c>
      <c r="E45" s="3">
        <f ca="1">IF(OR(D45=D44,D45=D44+1),Master_Data[[#This Row],[Column1]],D45-1)</f>
        <v>19</v>
      </c>
      <c r="F45" s="11">
        <f>SUM($G$9:G45)</f>
        <v>5.8111111111111109</v>
      </c>
      <c r="G45" s="256">
        <f>IF(Master_Data[[#This Row],[Lectures]]="D","",Master_Data[[#This Row],[Duration (hh:mm)]])</f>
        <v>0.13194444444444445</v>
      </c>
      <c r="H45" s="2" t="s">
        <v>185</v>
      </c>
      <c r="I45" s="2">
        <v>56</v>
      </c>
      <c r="J45" s="2" t="s">
        <v>94</v>
      </c>
      <c r="K45" s="36" t="s">
        <v>231</v>
      </c>
      <c r="L45" s="257">
        <v>1</v>
      </c>
      <c r="M45" s="12">
        <v>8</v>
      </c>
      <c r="N45" s="35">
        <v>4</v>
      </c>
      <c r="O45" s="35">
        <v>4</v>
      </c>
      <c r="P45" s="35">
        <v>4</v>
      </c>
      <c r="Q45" s="35">
        <v>4</v>
      </c>
      <c r="R45" s="35">
        <v>5</v>
      </c>
      <c r="S45" s="35">
        <v>4</v>
      </c>
      <c r="T45" s="254">
        <v>0.13194444444444445</v>
      </c>
      <c r="U45" s="34">
        <f>(SUM($T$9:T45)/$T$4)*100</f>
        <v>64.577866954776979</v>
      </c>
      <c r="V45" s="19" t="s">
        <v>6</v>
      </c>
      <c r="W45" s="19" t="s">
        <v>6</v>
      </c>
      <c r="X45" s="19" t="s">
        <v>6</v>
      </c>
      <c r="Y45" s="19" t="s">
        <v>6</v>
      </c>
      <c r="Z45" s="19" t="s">
        <v>6</v>
      </c>
      <c r="AA45" s="19" t="s">
        <v>6</v>
      </c>
      <c r="AB45" s="146">
        <v>2</v>
      </c>
      <c r="AC45" s="13"/>
      <c r="AD45" s="161">
        <f>R45/SUM($R$9:$R$65)</f>
        <v>2.2522522522522521E-2</v>
      </c>
      <c r="AE45" s="162">
        <f>Master_Data[[#This Row],[Imp. Level]]/SUMIF(Master_Data[Subject],Master_Data[[#This Row],[Subject]],Master_Data[Imp. Level])</f>
        <v>7.8125E-2</v>
      </c>
      <c r="AF45" s="144">
        <f>Master_Data[[#This Row],[Subjectwise weights]]*Master_Data[[#This Row],[Confidence Level]]</f>
        <v>0.15625</v>
      </c>
      <c r="AG45" s="145" t="str">
        <f>IF(AND(Master_Data[[#This Row],[Prac. Book]]="D",Master_Data[[#This Row],[GARP EOC Ques.]]="D"),"D","U")</f>
        <v>U</v>
      </c>
      <c r="AH45" s="255" t="str">
        <f>Master_Data[[#This Row],[GARP 10 Yr Papers]]</f>
        <v>U</v>
      </c>
    </row>
    <row r="46" spans="2:34" ht="27" customHeight="1" x14ac:dyDescent="0.3">
      <c r="B46" s="3">
        <v>38</v>
      </c>
      <c r="C46" s="166" t="str">
        <f ca="1">IF(Master_Data[[#This Row],[Column1]]="Done","",IF(Master_Data[[#This Row],[Column1]]=MIN(Master_Data[Column1]),"Current Week",CONCATENATE("Week ",Master_Data[[#This Row],[Column1]])))</f>
        <v>Week 20</v>
      </c>
      <c r="D46" s="3">
        <f ca="1">IF(Master_Data[[#This Row],[Cum. Undone hrs]]=0,"Done",ROUNDUP(Master_Data[[#This Row],[Cum. Undone hrs]]/Working!$C$8,0))</f>
        <v>20</v>
      </c>
      <c r="E46" s="3">
        <f ca="1">IF(OR(D46=D45,D46=D45+1),Master_Data[[#This Row],[Column1]],D46-1)</f>
        <v>20</v>
      </c>
      <c r="F46" s="11">
        <f>SUM($G$9:G46)</f>
        <v>6.2895833333333329</v>
      </c>
      <c r="G46" s="256">
        <f>IF(Master_Data[[#This Row],[Lectures]]="D","",Master_Data[[#This Row],[Duration (hh:mm)]])</f>
        <v>0.47847222222222224</v>
      </c>
      <c r="H46" s="2" t="s">
        <v>185</v>
      </c>
      <c r="I46" s="2" t="s">
        <v>221</v>
      </c>
      <c r="J46" s="2" t="s">
        <v>95</v>
      </c>
      <c r="K46" s="36" t="s">
        <v>226</v>
      </c>
      <c r="L46" s="257">
        <v>3</v>
      </c>
      <c r="M46" s="12">
        <v>24</v>
      </c>
      <c r="N46" s="35">
        <v>4</v>
      </c>
      <c r="O46" s="35">
        <v>4</v>
      </c>
      <c r="P46" s="35">
        <v>4</v>
      </c>
      <c r="Q46" s="35">
        <v>4</v>
      </c>
      <c r="R46" s="35">
        <v>5</v>
      </c>
      <c r="S46" s="35">
        <v>4</v>
      </c>
      <c r="T46" s="254">
        <v>0.47847222222222224</v>
      </c>
      <c r="U46" s="34">
        <f>(SUM($T$9:T46)/$T$4)*100</f>
        <v>69.895045531717869</v>
      </c>
      <c r="V46" s="19" t="s">
        <v>6</v>
      </c>
      <c r="W46" s="19" t="s">
        <v>6</v>
      </c>
      <c r="X46" s="19" t="s">
        <v>6</v>
      </c>
      <c r="Y46" s="19" t="s">
        <v>6</v>
      </c>
      <c r="Z46" s="19" t="s">
        <v>6</v>
      </c>
      <c r="AA46" s="19" t="s">
        <v>6</v>
      </c>
      <c r="AB46" s="146">
        <v>2</v>
      </c>
      <c r="AC46" s="13"/>
      <c r="AD46" s="161">
        <f>R46/SUM($R$9:$R$65)</f>
        <v>2.2522522522522521E-2</v>
      </c>
      <c r="AE46" s="162">
        <f>Master_Data[[#This Row],[Imp. Level]]/SUMIF(Master_Data[Subject],Master_Data[[#This Row],[Subject]],Master_Data[Imp. Level])</f>
        <v>7.8125E-2</v>
      </c>
      <c r="AF46" s="144">
        <f>Master_Data[[#This Row],[Subjectwise weights]]*Master_Data[[#This Row],[Confidence Level]]</f>
        <v>0.15625</v>
      </c>
      <c r="AG46" s="145" t="str">
        <f>IF(AND(Master_Data[[#This Row],[Prac. Book]]="D",Master_Data[[#This Row],[GARP EOC Ques.]]="D"),"D","U")</f>
        <v>U</v>
      </c>
      <c r="AH46" s="255" t="str">
        <f>Master_Data[[#This Row],[GARP 10 Yr Papers]]</f>
        <v>U</v>
      </c>
    </row>
    <row r="47" spans="2:34" ht="27" customHeight="1" x14ac:dyDescent="0.3">
      <c r="B47" s="3">
        <v>39</v>
      </c>
      <c r="C47" s="166" t="str">
        <f ca="1">IF(Master_Data[[#This Row],[Column1]]="Done","",IF(Master_Data[[#This Row],[Column1]]=MIN(Master_Data[Column1]),"Current Week",CONCATENATE("Week ",Master_Data[[#This Row],[Column1]])))</f>
        <v>Week 22</v>
      </c>
      <c r="D47" s="3">
        <f ca="1">IF(Master_Data[[#This Row],[Cum. Undone hrs]]=0,"Done",ROUNDUP(Master_Data[[#This Row],[Cum. Undone hrs]]/Working!$C$8,0))</f>
        <v>22</v>
      </c>
      <c r="E47" s="3">
        <f ca="1">IF(OR(D47=D46,D47=D46+1),Master_Data[[#This Row],[Column1]],D47-1)</f>
        <v>21</v>
      </c>
      <c r="F47" s="11">
        <f>SUM($G$9:G47)</f>
        <v>6.6812499999999995</v>
      </c>
      <c r="G47" s="256">
        <f>IF(Master_Data[[#This Row],[Lectures]]="D","",Master_Data[[#This Row],[Duration (hh:mm)]])</f>
        <v>0.39166666666666666</v>
      </c>
      <c r="H47" s="2" t="s">
        <v>185</v>
      </c>
      <c r="I47" s="2">
        <v>58</v>
      </c>
      <c r="J47" s="2" t="s">
        <v>95</v>
      </c>
      <c r="K47" s="36" t="s">
        <v>214</v>
      </c>
      <c r="L47" s="257">
        <v>1</v>
      </c>
      <c r="M47" s="12">
        <v>9</v>
      </c>
      <c r="N47" s="35">
        <v>5</v>
      </c>
      <c r="O47" s="35">
        <v>4</v>
      </c>
      <c r="P47" s="35">
        <v>5</v>
      </c>
      <c r="Q47" s="35">
        <v>5</v>
      </c>
      <c r="R47" s="35">
        <v>5</v>
      </c>
      <c r="S47" s="35">
        <v>4</v>
      </c>
      <c r="T47" s="254">
        <v>0.39166666666666666</v>
      </c>
      <c r="U47" s="34">
        <f>(SUM($T$9:T47)/$T$4)*100</f>
        <v>74.247569069300837</v>
      </c>
      <c r="V47" s="19" t="s">
        <v>6</v>
      </c>
      <c r="W47" s="19" t="s">
        <v>6</v>
      </c>
      <c r="X47" s="19" t="s">
        <v>6</v>
      </c>
      <c r="Y47" s="19" t="s">
        <v>6</v>
      </c>
      <c r="Z47" s="19" t="s">
        <v>6</v>
      </c>
      <c r="AA47" s="19" t="s">
        <v>6</v>
      </c>
      <c r="AB47" s="146">
        <v>2</v>
      </c>
      <c r="AC47" s="13"/>
      <c r="AD47" s="161">
        <f>R47/SUM($R$9:$R$65)</f>
        <v>2.2522522522522521E-2</v>
      </c>
      <c r="AE47" s="162">
        <f>Master_Data[[#This Row],[Imp. Level]]/SUMIF(Master_Data[Subject],Master_Data[[#This Row],[Subject]],Master_Data[Imp. Level])</f>
        <v>7.8125E-2</v>
      </c>
      <c r="AF47" s="144">
        <f>Master_Data[[#This Row],[Subjectwise weights]]*Master_Data[[#This Row],[Confidence Level]]</f>
        <v>0.15625</v>
      </c>
      <c r="AG47" s="145" t="str">
        <f>IF(AND(Master_Data[[#This Row],[Prac. Book]]="D",Master_Data[[#This Row],[GARP EOC Ques.]]="D"),"D","U")</f>
        <v>U</v>
      </c>
      <c r="AH47" s="255" t="str">
        <f>Master_Data[[#This Row],[GARP 10 Yr Papers]]</f>
        <v>U</v>
      </c>
    </row>
    <row r="48" spans="2:34" ht="27" customHeight="1" x14ac:dyDescent="0.3">
      <c r="B48" s="3">
        <v>40</v>
      </c>
      <c r="C48" s="166" t="str">
        <f ca="1">IF(Master_Data[[#This Row],[Column1]]="Done","",IF(Master_Data[[#This Row],[Column1]]=MIN(Master_Data[Column1]),"Current Week",CONCATENATE("Week ",Master_Data[[#This Row],[Column1]])))</f>
        <v>Week 22</v>
      </c>
      <c r="D48" s="3">
        <f ca="1">IF(Master_Data[[#This Row],[Cum. Undone hrs]]=0,"Done",ROUNDUP(Master_Data[[#This Row],[Cum. Undone hrs]]/Working!$C$8,0))</f>
        <v>22</v>
      </c>
      <c r="E48" s="3">
        <f ca="1">IF(OR(D48=D47,D48=D47+1),Master_Data[[#This Row],[Column1]],D48-1)</f>
        <v>22</v>
      </c>
      <c r="F48" s="11">
        <f>SUM($G$9:G48)</f>
        <v>6.7569444444444438</v>
      </c>
      <c r="G48" s="256">
        <f>IF(Master_Data[[#This Row],[Lectures]]="D","",Master_Data[[#This Row],[Duration (hh:mm)]])</f>
        <v>7.5694444444444439E-2</v>
      </c>
      <c r="H48" s="2" t="s">
        <v>185</v>
      </c>
      <c r="I48" s="2">
        <v>59</v>
      </c>
      <c r="J48" s="2" t="s">
        <v>94</v>
      </c>
      <c r="K48" s="36" t="s">
        <v>232</v>
      </c>
      <c r="L48" s="257">
        <v>1</v>
      </c>
      <c r="M48" s="12">
        <v>7</v>
      </c>
      <c r="N48" s="35">
        <v>3</v>
      </c>
      <c r="O48" s="35">
        <v>2</v>
      </c>
      <c r="P48" s="35">
        <v>5</v>
      </c>
      <c r="Q48" s="35">
        <v>5</v>
      </c>
      <c r="R48" s="35">
        <v>3</v>
      </c>
      <c r="S48" s="35">
        <v>4</v>
      </c>
      <c r="T48" s="254">
        <v>7.5694444444444439E-2</v>
      </c>
      <c r="U48" s="34">
        <f>(SUM($T$9:T48)/$T$4)*100</f>
        <v>75.088748263620943</v>
      </c>
      <c r="V48" s="19" t="s">
        <v>6</v>
      </c>
      <c r="W48" s="19" t="s">
        <v>6</v>
      </c>
      <c r="X48" s="19" t="s">
        <v>6</v>
      </c>
      <c r="Y48" s="19" t="s">
        <v>6</v>
      </c>
      <c r="Z48" s="19" t="s">
        <v>6</v>
      </c>
      <c r="AA48" s="19" t="s">
        <v>6</v>
      </c>
      <c r="AB48" s="146">
        <v>2</v>
      </c>
      <c r="AC48" s="13"/>
      <c r="AD48" s="161">
        <f>R48/SUM($R$9:$R$65)</f>
        <v>1.3513513513513514E-2</v>
      </c>
      <c r="AE48" s="162">
        <f>Master_Data[[#This Row],[Imp. Level]]/SUMIF(Master_Data[Subject],Master_Data[[#This Row],[Subject]],Master_Data[Imp. Level])</f>
        <v>4.6875E-2</v>
      </c>
      <c r="AF48" s="144">
        <f>Master_Data[[#This Row],[Subjectwise weights]]*Master_Data[[#This Row],[Confidence Level]]</f>
        <v>9.375E-2</v>
      </c>
      <c r="AG48" s="145" t="str">
        <f>IF(AND(Master_Data[[#This Row],[Prac. Book]]="D",Master_Data[[#This Row],[GARP EOC Ques.]]="D"),"D","U")</f>
        <v>U</v>
      </c>
      <c r="AH48" s="255" t="str">
        <f>Master_Data[[#This Row],[GARP 10 Yr Papers]]</f>
        <v>U</v>
      </c>
    </row>
    <row r="49" spans="2:34" ht="27" customHeight="1" x14ac:dyDescent="0.3">
      <c r="B49" s="3">
        <v>41</v>
      </c>
      <c r="C49" s="166" t="str">
        <f ca="1">IF(Master_Data[[#This Row],[Column1]]="Done","",IF(Master_Data[[#This Row],[Column1]]=MIN(Master_Data[Column1]),"Current Week",CONCATENATE("Week ",Master_Data[[#This Row],[Column1]])))</f>
        <v>Week 22</v>
      </c>
      <c r="D49" s="3">
        <f ca="1">IF(Master_Data[[#This Row],[Cum. Undone hrs]]=0,"Done",ROUNDUP(Master_Data[[#This Row],[Cum. Undone hrs]]/Working!$C$8,0))</f>
        <v>22</v>
      </c>
      <c r="E49" s="3">
        <f ca="1">IF(OR(D49=D48,D49=D48+1),Master_Data[[#This Row],[Column1]],D49-1)</f>
        <v>22</v>
      </c>
      <c r="F49" s="11">
        <f>SUM($G$9:G49)</f>
        <v>6.8812499999999996</v>
      </c>
      <c r="G49" s="256">
        <f>IF(Master_Data[[#This Row],[Lectures]]="D","",Master_Data[[#This Row],[Duration (hh:mm)]])</f>
        <v>0.12430555555555556</v>
      </c>
      <c r="H49" s="2" t="s">
        <v>169</v>
      </c>
      <c r="I49" s="2">
        <v>43</v>
      </c>
      <c r="J49" s="2" t="s">
        <v>95</v>
      </c>
      <c r="K49" s="36" t="s">
        <v>191</v>
      </c>
      <c r="L49" s="257">
        <v>1</v>
      </c>
      <c r="M49" s="12">
        <v>9</v>
      </c>
      <c r="N49" s="35">
        <v>3</v>
      </c>
      <c r="O49" s="35">
        <v>2</v>
      </c>
      <c r="P49" s="35">
        <v>3</v>
      </c>
      <c r="Q49" s="35">
        <v>3</v>
      </c>
      <c r="R49" s="35">
        <v>3</v>
      </c>
      <c r="S49" s="35">
        <v>4</v>
      </c>
      <c r="T49" s="254">
        <v>0.12430555555555556</v>
      </c>
      <c r="U49" s="34">
        <f>(SUM($T$9:T49)/$T$4)*100</f>
        <v>76.470134279981494</v>
      </c>
      <c r="V49" s="19" t="s">
        <v>6</v>
      </c>
      <c r="W49" s="19" t="s">
        <v>6</v>
      </c>
      <c r="X49" s="19" t="s">
        <v>6</v>
      </c>
      <c r="Y49" s="19" t="s">
        <v>6</v>
      </c>
      <c r="Z49" s="19" t="s">
        <v>6</v>
      </c>
      <c r="AA49" s="19" t="s">
        <v>6</v>
      </c>
      <c r="AB49" s="146">
        <v>2</v>
      </c>
      <c r="AC49" s="13"/>
      <c r="AD49" s="161">
        <f>R49/SUM($R$9:$R$65)</f>
        <v>1.3513513513513514E-2</v>
      </c>
      <c r="AE49" s="162">
        <f>Master_Data[[#This Row],[Imp. Level]]/SUMIF(Master_Data[Subject],Master_Data[[#This Row],[Subject]],Master_Data[Imp. Level])</f>
        <v>3.7499999999999999E-2</v>
      </c>
      <c r="AF49" s="144">
        <f>Master_Data[[#This Row],[Subjectwise weights]]*Master_Data[[#This Row],[Confidence Level]]</f>
        <v>7.4999999999999997E-2</v>
      </c>
      <c r="AG49" s="145" t="str">
        <f>IF(AND(Master_Data[[#This Row],[Prac. Book]]="D",Master_Data[[#This Row],[GARP EOC Ques.]]="D"),"D","U")</f>
        <v>U</v>
      </c>
      <c r="AH49" s="255" t="str">
        <f>Master_Data[[#This Row],[GARP 10 Yr Papers]]</f>
        <v>U</v>
      </c>
    </row>
    <row r="50" spans="2:34" ht="27" customHeight="1" x14ac:dyDescent="0.3">
      <c r="B50" s="3">
        <v>42</v>
      </c>
      <c r="C50" s="166" t="str">
        <f ca="1">IF(Master_Data[[#This Row],[Column1]]="Done","",IF(Master_Data[[#This Row],[Column1]]=MIN(Master_Data[Column1]),"Current Week",CONCATENATE("Week ",Master_Data[[#This Row],[Column1]])))</f>
        <v>Week 23</v>
      </c>
      <c r="D50" s="3">
        <f ca="1">IF(Master_Data[[#This Row],[Cum. Undone hrs]]=0,"Done",ROUNDUP(Master_Data[[#This Row],[Cum. Undone hrs]]/Working!$C$8,0))</f>
        <v>23</v>
      </c>
      <c r="E50" s="3">
        <f ca="1">IF(OR(D50=D49,D50=D49+1),Master_Data[[#This Row],[Column1]],D50-1)</f>
        <v>23</v>
      </c>
      <c r="F50" s="11">
        <f>SUM($G$9:G50)</f>
        <v>7.0881944444444445</v>
      </c>
      <c r="G50" s="256">
        <f>IF(Master_Data[[#This Row],[Lectures]]="D","",Master_Data[[#This Row],[Duration (hh:mm)]])</f>
        <v>0.20694444444444443</v>
      </c>
      <c r="H50" s="2" t="s">
        <v>169</v>
      </c>
      <c r="I50" s="2">
        <v>44</v>
      </c>
      <c r="J50" s="2" t="s">
        <v>95</v>
      </c>
      <c r="K50" s="36" t="s">
        <v>213</v>
      </c>
      <c r="L50" s="257">
        <v>1</v>
      </c>
      <c r="M50" s="12">
        <v>10</v>
      </c>
      <c r="N50" s="35">
        <v>4</v>
      </c>
      <c r="O50" s="35">
        <v>3</v>
      </c>
      <c r="P50" s="35">
        <v>5</v>
      </c>
      <c r="Q50" s="35">
        <v>5</v>
      </c>
      <c r="R50" s="35">
        <v>4</v>
      </c>
      <c r="S50" s="35">
        <v>4</v>
      </c>
      <c r="T50" s="254">
        <v>0.20694444444444443</v>
      </c>
      <c r="U50" s="34">
        <f>(SUM($T$9:T50)/$T$4)*100</f>
        <v>78.769871893810802</v>
      </c>
      <c r="V50" s="19" t="s">
        <v>6</v>
      </c>
      <c r="W50" s="19" t="s">
        <v>6</v>
      </c>
      <c r="X50" s="19" t="s">
        <v>6</v>
      </c>
      <c r="Y50" s="19" t="s">
        <v>6</v>
      </c>
      <c r="Z50" s="19" t="s">
        <v>6</v>
      </c>
      <c r="AA50" s="19" t="s">
        <v>6</v>
      </c>
      <c r="AB50" s="146">
        <v>3</v>
      </c>
      <c r="AC50" s="13"/>
      <c r="AD50" s="161">
        <f>R50/SUM($R$9:$R$65)</f>
        <v>1.8018018018018018E-2</v>
      </c>
      <c r="AE50" s="162">
        <f>Master_Data[[#This Row],[Imp. Level]]/SUMIF(Master_Data[Subject],Master_Data[[#This Row],[Subject]],Master_Data[Imp. Level])</f>
        <v>0.05</v>
      </c>
      <c r="AF50" s="144">
        <f>Master_Data[[#This Row],[Subjectwise weights]]*Master_Data[[#This Row],[Confidence Level]]</f>
        <v>0.15000000000000002</v>
      </c>
      <c r="AG50" s="145" t="str">
        <f>IF(AND(Master_Data[[#This Row],[Prac. Book]]="D",Master_Data[[#This Row],[GARP EOC Ques.]]="D"),"D","U")</f>
        <v>U</v>
      </c>
      <c r="AH50" s="255" t="str">
        <f>Master_Data[[#This Row],[GARP 10 Yr Papers]]</f>
        <v>U</v>
      </c>
    </row>
    <row r="51" spans="2:34" ht="27" customHeight="1" x14ac:dyDescent="0.3">
      <c r="B51" s="3">
        <v>43</v>
      </c>
      <c r="C51" s="166" t="str">
        <f ca="1">IF(Master_Data[[#This Row],[Column1]]="Done","",IF(Master_Data[[#This Row],[Column1]]=MIN(Master_Data[Column1]),"Current Week",CONCATENATE("Week ",Master_Data[[#This Row],[Column1]])))</f>
        <v>Week 23</v>
      </c>
      <c r="D51" s="3">
        <f ca="1">IF(Master_Data[[#This Row],[Cum. Undone hrs]]=0,"Done",ROUNDUP(Master_Data[[#This Row],[Cum. Undone hrs]]/Working!$C$8,0))</f>
        <v>23</v>
      </c>
      <c r="E51" s="3">
        <f ca="1">IF(OR(D51=D50,D51=D50+1),Master_Data[[#This Row],[Column1]],D51-1)</f>
        <v>23</v>
      </c>
      <c r="F51" s="11">
        <f>SUM($G$9:G51)</f>
        <v>7.2298611111111111</v>
      </c>
      <c r="G51" s="256">
        <f>IF(Master_Data[[#This Row],[Lectures]]="D","",Master_Data[[#This Row],[Duration (hh:mm)]])</f>
        <v>0.14166666666666666</v>
      </c>
      <c r="H51" s="2" t="s">
        <v>169</v>
      </c>
      <c r="I51" s="2">
        <v>45</v>
      </c>
      <c r="J51" s="2" t="s">
        <v>95</v>
      </c>
      <c r="K51" s="36" t="s">
        <v>192</v>
      </c>
      <c r="L51" s="257">
        <v>1</v>
      </c>
      <c r="M51" s="12">
        <v>11</v>
      </c>
      <c r="N51" s="35">
        <v>4</v>
      </c>
      <c r="O51" s="35">
        <v>4</v>
      </c>
      <c r="P51" s="35">
        <v>4</v>
      </c>
      <c r="Q51" s="35">
        <v>5</v>
      </c>
      <c r="R51" s="35">
        <v>5</v>
      </c>
      <c r="S51" s="35">
        <v>5</v>
      </c>
      <c r="T51" s="254">
        <v>0.14166666666666666</v>
      </c>
      <c r="U51" s="34">
        <f>(SUM($T$9:T51)/$T$4)*100</f>
        <v>80.344188918042931</v>
      </c>
      <c r="V51" s="19" t="s">
        <v>6</v>
      </c>
      <c r="W51" s="19" t="s">
        <v>6</v>
      </c>
      <c r="X51" s="19" t="s">
        <v>6</v>
      </c>
      <c r="Y51" s="19" t="s">
        <v>6</v>
      </c>
      <c r="Z51" s="19" t="s">
        <v>6</v>
      </c>
      <c r="AA51" s="19" t="s">
        <v>6</v>
      </c>
      <c r="AB51" s="146">
        <v>2</v>
      </c>
      <c r="AC51" s="13"/>
      <c r="AD51" s="161">
        <f>R51/SUM($R$9:$R$65)</f>
        <v>2.2522522522522521E-2</v>
      </c>
      <c r="AE51" s="162">
        <f>Master_Data[[#This Row],[Imp. Level]]/SUMIF(Master_Data[Subject],Master_Data[[#This Row],[Subject]],Master_Data[Imp. Level])</f>
        <v>6.25E-2</v>
      </c>
      <c r="AF51" s="144">
        <f>Master_Data[[#This Row],[Subjectwise weights]]*Master_Data[[#This Row],[Confidence Level]]</f>
        <v>0.125</v>
      </c>
      <c r="AG51" s="145" t="str">
        <f>IF(AND(Master_Data[[#This Row],[Prac. Book]]="D",Master_Data[[#This Row],[GARP EOC Ques.]]="D"),"D","U")</f>
        <v>U</v>
      </c>
      <c r="AH51" s="255" t="str">
        <f>Master_Data[[#This Row],[GARP 10 Yr Papers]]</f>
        <v>U</v>
      </c>
    </row>
    <row r="52" spans="2:34" ht="27" customHeight="1" x14ac:dyDescent="0.3">
      <c r="B52" s="3">
        <v>44</v>
      </c>
      <c r="C52" s="166" t="str">
        <f ca="1">IF(Master_Data[[#This Row],[Column1]]="Done","",IF(Master_Data[[#This Row],[Column1]]=MIN(Master_Data[Column1]),"Current Week",CONCATENATE("Week ",Master_Data[[#This Row],[Column1]])))</f>
        <v>Week 24</v>
      </c>
      <c r="D52" s="3">
        <f ca="1">IF(Master_Data[[#This Row],[Cum. Undone hrs]]=0,"Done",ROUNDUP(Master_Data[[#This Row],[Cum. Undone hrs]]/Working!$C$8,0))</f>
        <v>24</v>
      </c>
      <c r="E52" s="3">
        <f ca="1">IF(OR(D52=D51,D52=D51+1),Master_Data[[#This Row],[Column1]],D52-1)</f>
        <v>24</v>
      </c>
      <c r="F52" s="11">
        <f>SUM($G$9:G52)</f>
        <v>7.3930555555555557</v>
      </c>
      <c r="G52" s="256">
        <f>IF(Master_Data[[#This Row],[Lectures]]="D","",Master_Data[[#This Row],[Duration (hh:mm)]])</f>
        <v>0.16319444444444445</v>
      </c>
      <c r="H52" s="2" t="s">
        <v>169</v>
      </c>
      <c r="I52" s="2">
        <v>46</v>
      </c>
      <c r="J52" s="2" t="s">
        <v>94</v>
      </c>
      <c r="K52" s="36" t="s">
        <v>193</v>
      </c>
      <c r="L52" s="257">
        <v>1</v>
      </c>
      <c r="M52" s="12">
        <v>13</v>
      </c>
      <c r="N52" s="35">
        <v>4</v>
      </c>
      <c r="O52" s="35">
        <v>5</v>
      </c>
      <c r="P52" s="35">
        <v>5</v>
      </c>
      <c r="Q52" s="35">
        <v>5</v>
      </c>
      <c r="R52" s="35">
        <v>4</v>
      </c>
      <c r="S52" s="35">
        <v>5</v>
      </c>
      <c r="T52" s="254">
        <v>0.16319444444444445</v>
      </c>
      <c r="U52" s="34">
        <f>(SUM($T$9:T52)/$T$4)*100</f>
        <v>82.157740392035834</v>
      </c>
      <c r="V52" s="19" t="s">
        <v>6</v>
      </c>
      <c r="W52" s="19" t="s">
        <v>6</v>
      </c>
      <c r="X52" s="19" t="s">
        <v>6</v>
      </c>
      <c r="Y52" s="19" t="s">
        <v>6</v>
      </c>
      <c r="Z52" s="19" t="s">
        <v>6</v>
      </c>
      <c r="AA52" s="19" t="s">
        <v>6</v>
      </c>
      <c r="AB52" s="146">
        <v>2</v>
      </c>
      <c r="AC52" s="13"/>
      <c r="AD52" s="161">
        <f>R52/SUM($R$9:$R$65)</f>
        <v>1.8018018018018018E-2</v>
      </c>
      <c r="AE52" s="162">
        <f>Master_Data[[#This Row],[Imp. Level]]/SUMIF(Master_Data[Subject],Master_Data[[#This Row],[Subject]],Master_Data[Imp. Level])</f>
        <v>0.05</v>
      </c>
      <c r="AF52" s="144">
        <f>Master_Data[[#This Row],[Subjectwise weights]]*Master_Data[[#This Row],[Confidence Level]]</f>
        <v>0.1</v>
      </c>
      <c r="AG52" s="145" t="str">
        <f>IF(AND(Master_Data[[#This Row],[Prac. Book]]="D",Master_Data[[#This Row],[GARP EOC Ques.]]="D"),"D","U")</f>
        <v>U</v>
      </c>
      <c r="AH52" s="255" t="str">
        <f>Master_Data[[#This Row],[GARP 10 Yr Papers]]</f>
        <v>U</v>
      </c>
    </row>
    <row r="53" spans="2:34" ht="27" customHeight="1" x14ac:dyDescent="0.3">
      <c r="B53" s="3">
        <v>45</v>
      </c>
      <c r="C53" s="166" t="str">
        <f ca="1">IF(Master_Data[[#This Row],[Column1]]="Done","",IF(Master_Data[[#This Row],[Column1]]=MIN(Master_Data[Column1]),"Current Week",CONCATENATE("Week ",Master_Data[[#This Row],[Column1]])))</f>
        <v>Week 24</v>
      </c>
      <c r="D53" s="3">
        <f ca="1">IF(Master_Data[[#This Row],[Cum. Undone hrs]]=0,"Done",ROUNDUP(Master_Data[[#This Row],[Cum. Undone hrs]]/Working!$C$8,0))</f>
        <v>24</v>
      </c>
      <c r="E53" s="3">
        <f ca="1">IF(OR(D53=D52,D53=D52+1),Master_Data[[#This Row],[Column1]],D53-1)</f>
        <v>24</v>
      </c>
      <c r="F53" s="11">
        <f>SUM($G$9:G53)</f>
        <v>7.5187499999999998</v>
      </c>
      <c r="G53" s="256">
        <f>IF(Master_Data[[#This Row],[Lectures]]="D","",Master_Data[[#This Row],[Duration (hh:mm)]])</f>
        <v>0.12569444444444444</v>
      </c>
      <c r="H53" s="2" t="s">
        <v>185</v>
      </c>
      <c r="I53" s="2">
        <v>51</v>
      </c>
      <c r="J53" s="2" t="s">
        <v>94</v>
      </c>
      <c r="K53" s="36" t="s">
        <v>227</v>
      </c>
      <c r="L53" s="257">
        <v>1</v>
      </c>
      <c r="M53" s="12">
        <v>6</v>
      </c>
      <c r="N53" s="35">
        <v>2</v>
      </c>
      <c r="O53" s="35">
        <v>1</v>
      </c>
      <c r="P53" s="35">
        <v>2</v>
      </c>
      <c r="Q53" s="35">
        <v>2</v>
      </c>
      <c r="R53" s="35">
        <v>2</v>
      </c>
      <c r="S53" s="35">
        <v>3</v>
      </c>
      <c r="T53" s="254">
        <v>0.12569444444444444</v>
      </c>
      <c r="U53" s="34">
        <f>(SUM($T$9:T53)/$T$4)*100</f>
        <v>83.554560889026106</v>
      </c>
      <c r="V53" s="19" t="s">
        <v>6</v>
      </c>
      <c r="W53" s="19" t="s">
        <v>6</v>
      </c>
      <c r="X53" s="19" t="s">
        <v>6</v>
      </c>
      <c r="Y53" s="19" t="s">
        <v>6</v>
      </c>
      <c r="Z53" s="19" t="s">
        <v>6</v>
      </c>
      <c r="AA53" s="19" t="s">
        <v>6</v>
      </c>
      <c r="AB53" s="146">
        <v>2</v>
      </c>
      <c r="AC53" s="13"/>
      <c r="AD53" s="161">
        <f>R53/SUM($R$9:$R$65)</f>
        <v>9.0090090090090089E-3</v>
      </c>
      <c r="AE53" s="162">
        <f>Master_Data[[#This Row],[Imp. Level]]/SUMIF(Master_Data[Subject],Master_Data[[#This Row],[Subject]],Master_Data[Imp. Level])</f>
        <v>3.125E-2</v>
      </c>
      <c r="AF53" s="144">
        <f>Master_Data[[#This Row],[Subjectwise weights]]*Master_Data[[#This Row],[Confidence Level]]</f>
        <v>6.25E-2</v>
      </c>
      <c r="AG53" s="145" t="str">
        <f>IF(AND(Master_Data[[#This Row],[Prac. Book]]="D",Master_Data[[#This Row],[GARP EOC Ques.]]="D"),"D","U")</f>
        <v>U</v>
      </c>
      <c r="AH53" s="255" t="str">
        <f>Master_Data[[#This Row],[GARP 10 Yr Papers]]</f>
        <v>U</v>
      </c>
    </row>
    <row r="54" spans="2:34" ht="27" customHeight="1" x14ac:dyDescent="0.3">
      <c r="B54" s="3">
        <v>46</v>
      </c>
      <c r="C54" s="166" t="str">
        <f ca="1">IF(Master_Data[[#This Row],[Column1]]="Done","",IF(Master_Data[[#This Row],[Column1]]=MIN(Master_Data[Column1]),"Current Week",CONCATENATE("Week ",Master_Data[[#This Row],[Column1]])))</f>
        <v>Week 25</v>
      </c>
      <c r="D54" s="3">
        <f ca="1">IF(Master_Data[[#This Row],[Cum. Undone hrs]]=0,"Done",ROUNDUP(Master_Data[[#This Row],[Cum. Undone hrs]]/Working!$C$8,0))</f>
        <v>25</v>
      </c>
      <c r="E54" s="3">
        <f ca="1">IF(OR(D54=D53,D54=D53+1),Master_Data[[#This Row],[Column1]],D54-1)</f>
        <v>25</v>
      </c>
      <c r="F54" s="11">
        <f>SUM($G$9:G54)</f>
        <v>7.7381944444444439</v>
      </c>
      <c r="G54" s="256">
        <f>IF(Master_Data[[#This Row],[Lectures]]="D","",Master_Data[[#This Row],[Duration (hh:mm)]])</f>
        <v>0.21944444444444444</v>
      </c>
      <c r="H54" s="2" t="s">
        <v>185</v>
      </c>
      <c r="I54" s="2">
        <v>50</v>
      </c>
      <c r="J54" s="2" t="s">
        <v>95</v>
      </c>
      <c r="K54" s="36" t="s">
        <v>195</v>
      </c>
      <c r="L54" s="257">
        <v>1</v>
      </c>
      <c r="M54" s="12">
        <v>10</v>
      </c>
      <c r="N54" s="35">
        <v>4</v>
      </c>
      <c r="O54" s="35">
        <v>3</v>
      </c>
      <c r="P54" s="35">
        <v>4</v>
      </c>
      <c r="Q54" s="35">
        <v>4</v>
      </c>
      <c r="R54" s="35">
        <v>4</v>
      </c>
      <c r="S54" s="35">
        <v>4</v>
      </c>
      <c r="T54" s="254">
        <v>0.21944444444444444</v>
      </c>
      <c r="U54" s="34">
        <f>(SUM($T$9:T54)/$T$4)*100</f>
        <v>85.993208828522938</v>
      </c>
      <c r="V54" s="19" t="s">
        <v>6</v>
      </c>
      <c r="W54" s="19" t="s">
        <v>6</v>
      </c>
      <c r="X54" s="19" t="s">
        <v>6</v>
      </c>
      <c r="Y54" s="19" t="s">
        <v>6</v>
      </c>
      <c r="Z54" s="19" t="s">
        <v>6</v>
      </c>
      <c r="AA54" s="19" t="s">
        <v>6</v>
      </c>
      <c r="AB54" s="146">
        <v>3</v>
      </c>
      <c r="AC54" s="13"/>
      <c r="AD54" s="161">
        <f>R54/SUM($R$9:$R$65)</f>
        <v>1.8018018018018018E-2</v>
      </c>
      <c r="AE54" s="162">
        <f>Master_Data[[#This Row],[Imp. Level]]/SUMIF(Master_Data[Subject],Master_Data[[#This Row],[Subject]],Master_Data[Imp. Level])</f>
        <v>6.25E-2</v>
      </c>
      <c r="AF54" s="144">
        <f>Master_Data[[#This Row],[Subjectwise weights]]*Master_Data[[#This Row],[Confidence Level]]</f>
        <v>0.1875</v>
      </c>
      <c r="AG54" s="145" t="str">
        <f>IF(AND(Master_Data[[#This Row],[Prac. Book]]="D",Master_Data[[#This Row],[GARP EOC Ques.]]="D"),"D","U")</f>
        <v>U</v>
      </c>
      <c r="AH54" s="255" t="str">
        <f>Master_Data[[#This Row],[GARP 10 Yr Papers]]</f>
        <v>U</v>
      </c>
    </row>
    <row r="55" spans="2:34" ht="27" customHeight="1" x14ac:dyDescent="0.3">
      <c r="B55" s="3">
        <v>47</v>
      </c>
      <c r="C55" s="166" t="str">
        <f ca="1">IF(Master_Data[[#This Row],[Column1]]="Done","",IF(Master_Data[[#This Row],[Column1]]=MIN(Master_Data[Column1]),"Current Week",CONCATENATE("Week ",Master_Data[[#This Row],[Column1]])))</f>
        <v>Week 25</v>
      </c>
      <c r="D55" s="3">
        <f ca="1">IF(Master_Data[[#This Row],[Cum. Undone hrs]]=0,"Done",ROUNDUP(Master_Data[[#This Row],[Cum. Undone hrs]]/Working!$C$8,0))</f>
        <v>25</v>
      </c>
      <c r="E55" s="3">
        <f ca="1">IF(OR(D55=D54,D55=D54+1),Master_Data[[#This Row],[Column1]],D55-1)</f>
        <v>25</v>
      </c>
      <c r="F55" s="11">
        <f>SUM($G$9:G55)</f>
        <v>7.936805555555555</v>
      </c>
      <c r="G55" s="256">
        <f>IF(Master_Data[[#This Row],[Lectures]]="D","",Master_Data[[#This Row],[Duration (hh:mm)]])</f>
        <v>0.1986111111111111</v>
      </c>
      <c r="H55" s="2" t="s">
        <v>163</v>
      </c>
      <c r="I55" s="2">
        <v>1</v>
      </c>
      <c r="J55" s="2" t="s">
        <v>95</v>
      </c>
      <c r="K55" s="36" t="s">
        <v>196</v>
      </c>
      <c r="L55" s="257">
        <v>1</v>
      </c>
      <c r="M55" s="12">
        <v>6</v>
      </c>
      <c r="N55" s="35">
        <v>4</v>
      </c>
      <c r="O55" s="35">
        <v>2</v>
      </c>
      <c r="P55" s="35">
        <v>3</v>
      </c>
      <c r="Q55" s="35">
        <v>3</v>
      </c>
      <c r="R55" s="35">
        <v>3</v>
      </c>
      <c r="S55" s="35">
        <v>3</v>
      </c>
      <c r="T55" s="254">
        <v>0.1986111111111111</v>
      </c>
      <c r="U55" s="34">
        <f>(SUM($T$9:T55)/$T$4)*100</f>
        <v>88.200339558573887</v>
      </c>
      <c r="V55" s="19" t="s">
        <v>6</v>
      </c>
      <c r="W55" s="19" t="s">
        <v>6</v>
      </c>
      <c r="X55" s="19" t="s">
        <v>6</v>
      </c>
      <c r="Y55" s="19" t="s">
        <v>6</v>
      </c>
      <c r="Z55" s="19" t="s">
        <v>6</v>
      </c>
      <c r="AA55" s="19" t="s">
        <v>6</v>
      </c>
      <c r="AB55" s="146">
        <v>3</v>
      </c>
      <c r="AC55" s="13"/>
      <c r="AD55" s="161">
        <f>R55/SUM($R$9:$R$65)</f>
        <v>1.3513513513513514E-2</v>
      </c>
      <c r="AE55" s="162">
        <f>Master_Data[[#This Row],[Imp. Level]]/SUMIF(Master_Data[Subject],Master_Data[[#This Row],[Subject]],Master_Data[Imp. Level])</f>
        <v>7.6923076923076927E-2</v>
      </c>
      <c r="AF55" s="144">
        <f>Master_Data[[#This Row],[Subjectwise weights]]*Master_Data[[#This Row],[Confidence Level]]</f>
        <v>0.23076923076923078</v>
      </c>
      <c r="AG55" s="145" t="str">
        <f>IF(AND(Master_Data[[#This Row],[Prac. Book]]="D",Master_Data[[#This Row],[GARP EOC Ques.]]="D"),"D","U")</f>
        <v>U</v>
      </c>
      <c r="AH55" s="255" t="str">
        <f>Master_Data[[#This Row],[GARP 10 Yr Papers]]</f>
        <v>U</v>
      </c>
    </row>
    <row r="56" spans="2:34" ht="27" customHeight="1" x14ac:dyDescent="0.3">
      <c r="B56" s="3">
        <v>48</v>
      </c>
      <c r="C56" s="166" t="str">
        <f ca="1">IF(Master_Data[[#This Row],[Column1]]="Done","",IF(Master_Data[[#This Row],[Column1]]=MIN(Master_Data[Column1]),"Current Week",CONCATENATE("Week ",Master_Data[[#This Row],[Column1]])))</f>
        <v>Week 26</v>
      </c>
      <c r="D56" s="3">
        <f ca="1">IF(Master_Data[[#This Row],[Cum. Undone hrs]]=0,"Done",ROUNDUP(Master_Data[[#This Row],[Cum. Undone hrs]]/Working!$C$8,0))</f>
        <v>26</v>
      </c>
      <c r="E56" s="3">
        <f ca="1">IF(OR(D56=D55,D56=D55+1),Master_Data[[#This Row],[Column1]],D56-1)</f>
        <v>26</v>
      </c>
      <c r="F56" s="11">
        <f>SUM($G$9:G56)</f>
        <v>7.9749999999999996</v>
      </c>
      <c r="G56" s="256">
        <f>IF(Master_Data[[#This Row],[Lectures]]="D","",Master_Data[[#This Row],[Duration (hh:mm)]])</f>
        <v>3.8194444444444448E-2</v>
      </c>
      <c r="H56" s="2" t="s">
        <v>185</v>
      </c>
      <c r="I56" s="2">
        <v>47</v>
      </c>
      <c r="J56" s="2" t="s">
        <v>95</v>
      </c>
      <c r="K56" s="36" t="s">
        <v>197</v>
      </c>
      <c r="L56" s="257">
        <v>1</v>
      </c>
      <c r="M56" s="12">
        <v>6</v>
      </c>
      <c r="N56" s="35">
        <v>3</v>
      </c>
      <c r="O56" s="35">
        <v>3</v>
      </c>
      <c r="P56" s="35">
        <v>4</v>
      </c>
      <c r="Q56" s="35">
        <v>5</v>
      </c>
      <c r="R56" s="35">
        <v>4</v>
      </c>
      <c r="S56" s="35">
        <v>4</v>
      </c>
      <c r="T56" s="254">
        <v>3.8194444444444448E-2</v>
      </c>
      <c r="U56" s="34">
        <f>(SUM($T$9:T56)/$T$4)*100</f>
        <v>88.624787775891363</v>
      </c>
      <c r="V56" s="19" t="s">
        <v>6</v>
      </c>
      <c r="W56" s="19" t="s">
        <v>6</v>
      </c>
      <c r="X56" s="19" t="s">
        <v>6</v>
      </c>
      <c r="Y56" s="19" t="s">
        <v>6</v>
      </c>
      <c r="Z56" s="19" t="s">
        <v>6</v>
      </c>
      <c r="AA56" s="19" t="s">
        <v>6</v>
      </c>
      <c r="AB56" s="146">
        <v>3</v>
      </c>
      <c r="AC56" s="13"/>
      <c r="AD56" s="161">
        <f>R56/SUM($R$9:$R$65)</f>
        <v>1.8018018018018018E-2</v>
      </c>
      <c r="AE56" s="162">
        <f>Master_Data[[#This Row],[Imp. Level]]/SUMIF(Master_Data[Subject],Master_Data[[#This Row],[Subject]],Master_Data[Imp. Level])</f>
        <v>6.25E-2</v>
      </c>
      <c r="AF56" s="144">
        <f>Master_Data[[#This Row],[Subjectwise weights]]*Master_Data[[#This Row],[Confidence Level]]</f>
        <v>0.1875</v>
      </c>
      <c r="AG56" s="145" t="str">
        <f>IF(AND(Master_Data[[#This Row],[Prac. Book]]="D",Master_Data[[#This Row],[GARP EOC Ques.]]="D"),"D","U")</f>
        <v>U</v>
      </c>
      <c r="AH56" s="255" t="str">
        <f>Master_Data[[#This Row],[GARP 10 Yr Papers]]</f>
        <v>U</v>
      </c>
    </row>
    <row r="57" spans="2:34" ht="27" customHeight="1" x14ac:dyDescent="0.3">
      <c r="B57" s="3">
        <v>49</v>
      </c>
      <c r="C57" s="166" t="str">
        <f ca="1">IF(Master_Data[[#This Row],[Column1]]="Done","",IF(Master_Data[[#This Row],[Column1]]=MIN(Master_Data[Column1]),"Current Week",CONCATENATE("Week ",Master_Data[[#This Row],[Column1]])))</f>
        <v>Week 26</v>
      </c>
      <c r="D57" s="3">
        <f ca="1">IF(Master_Data[[#This Row],[Cum. Undone hrs]]=0,"Done",ROUNDUP(Master_Data[[#This Row],[Cum. Undone hrs]]/Working!$C$8,0))</f>
        <v>26</v>
      </c>
      <c r="E57" s="3">
        <f ca="1">IF(OR(D57=D56,D57=D56+1),Master_Data[[#This Row],[Column1]],D57-1)</f>
        <v>26</v>
      </c>
      <c r="F57" s="11">
        <f>SUM($G$9:G57)</f>
        <v>8.093055555555555</v>
      </c>
      <c r="G57" s="256">
        <f>IF(Master_Data[[#This Row],[Lectures]]="D","",Master_Data[[#This Row],[Duration (hh:mm)]])</f>
        <v>0.11805555555555555</v>
      </c>
      <c r="H57" s="2" t="s">
        <v>185</v>
      </c>
      <c r="I57" s="2">
        <v>48</v>
      </c>
      <c r="J57" s="2" t="s">
        <v>94</v>
      </c>
      <c r="K57" s="36" t="s">
        <v>198</v>
      </c>
      <c r="L57" s="257">
        <v>1</v>
      </c>
      <c r="M57" s="12">
        <v>8</v>
      </c>
      <c r="N57" s="35">
        <v>3</v>
      </c>
      <c r="O57" s="35">
        <v>3</v>
      </c>
      <c r="P57" s="35">
        <v>4</v>
      </c>
      <c r="Q57" s="35">
        <v>4</v>
      </c>
      <c r="R57" s="35">
        <v>5</v>
      </c>
      <c r="S57" s="35">
        <v>5</v>
      </c>
      <c r="T57" s="254">
        <v>0.11805555555555555</v>
      </c>
      <c r="U57" s="34">
        <f>(SUM($T$9:T57)/$T$4)*100</f>
        <v>89.936718629418138</v>
      </c>
      <c r="V57" s="19" t="s">
        <v>6</v>
      </c>
      <c r="W57" s="19" t="s">
        <v>6</v>
      </c>
      <c r="X57" s="19" t="s">
        <v>6</v>
      </c>
      <c r="Y57" s="19" t="s">
        <v>6</v>
      </c>
      <c r="Z57" s="19" t="s">
        <v>6</v>
      </c>
      <c r="AA57" s="19" t="s">
        <v>6</v>
      </c>
      <c r="AB57" s="146">
        <v>2</v>
      </c>
      <c r="AC57" s="13"/>
      <c r="AD57" s="161">
        <f>R57/SUM($R$9:$R$65)</f>
        <v>2.2522522522522521E-2</v>
      </c>
      <c r="AE57" s="162">
        <f>Master_Data[[#This Row],[Imp. Level]]/SUMIF(Master_Data[Subject],Master_Data[[#This Row],[Subject]],Master_Data[Imp. Level])</f>
        <v>7.8125E-2</v>
      </c>
      <c r="AF57" s="144">
        <f>Master_Data[[#This Row],[Subjectwise weights]]*Master_Data[[#This Row],[Confidence Level]]</f>
        <v>0.15625</v>
      </c>
      <c r="AG57" s="145" t="str">
        <f>IF(AND(Master_Data[[#This Row],[Prac. Book]]="D",Master_Data[[#This Row],[GARP EOC Ques.]]="D"),"D","U")</f>
        <v>U</v>
      </c>
      <c r="AH57" s="255" t="str">
        <f>Master_Data[[#This Row],[GARP 10 Yr Papers]]</f>
        <v>U</v>
      </c>
    </row>
    <row r="58" spans="2:34" ht="27" customHeight="1" x14ac:dyDescent="0.3">
      <c r="B58" s="3">
        <v>50</v>
      </c>
      <c r="C58" s="166" t="str">
        <f ca="1">IF(Master_Data[[#This Row],[Column1]]="Done","",IF(Master_Data[[#This Row],[Column1]]=MIN(Master_Data[Column1]),"Current Week",CONCATENATE("Week ",Master_Data[[#This Row],[Column1]])))</f>
        <v>Week 26</v>
      </c>
      <c r="D58" s="3">
        <f ca="1">IF(Master_Data[[#This Row],[Cum. Undone hrs]]=0,"Done",ROUNDUP(Master_Data[[#This Row],[Cum. Undone hrs]]/Working!$C$8,0))</f>
        <v>26</v>
      </c>
      <c r="E58" s="3">
        <f ca="1">IF(OR(D58=D57,D58=D57+1),Master_Data[[#This Row],[Column1]],D58-1)</f>
        <v>26</v>
      </c>
      <c r="F58" s="11">
        <f>SUM($G$9:G58)</f>
        <v>8.1847222222222218</v>
      </c>
      <c r="G58" s="256">
        <f>IF(Master_Data[[#This Row],[Lectures]]="D","",Master_Data[[#This Row],[Duration (hh:mm)]])</f>
        <v>9.166666666666666E-2</v>
      </c>
      <c r="H58" s="2" t="s">
        <v>185</v>
      </c>
      <c r="I58" s="2">
        <v>49</v>
      </c>
      <c r="J58" s="2" t="s">
        <v>94</v>
      </c>
      <c r="K58" s="36" t="s">
        <v>199</v>
      </c>
      <c r="L58" s="257">
        <v>1</v>
      </c>
      <c r="M58" s="12">
        <v>9</v>
      </c>
      <c r="N58" s="35">
        <v>4</v>
      </c>
      <c r="O58" s="35">
        <v>3</v>
      </c>
      <c r="P58" s="35">
        <v>5</v>
      </c>
      <c r="Q58" s="35">
        <v>5</v>
      </c>
      <c r="R58" s="35">
        <v>5</v>
      </c>
      <c r="S58" s="35">
        <v>5</v>
      </c>
      <c r="T58" s="254">
        <v>9.166666666666666E-2</v>
      </c>
      <c r="U58" s="34">
        <f>(SUM($T$9:T58)/$T$4)*100</f>
        <v>90.955394350980114</v>
      </c>
      <c r="V58" s="19" t="s">
        <v>6</v>
      </c>
      <c r="W58" s="19" t="s">
        <v>6</v>
      </c>
      <c r="X58" s="19" t="s">
        <v>6</v>
      </c>
      <c r="Y58" s="19" t="s">
        <v>6</v>
      </c>
      <c r="Z58" s="19" t="s">
        <v>6</v>
      </c>
      <c r="AA58" s="19" t="s">
        <v>6</v>
      </c>
      <c r="AB58" s="146">
        <v>2</v>
      </c>
      <c r="AC58" s="13"/>
      <c r="AD58" s="161">
        <f>R58/SUM($R$9:$R$65)</f>
        <v>2.2522522522522521E-2</v>
      </c>
      <c r="AE58" s="162">
        <f>Master_Data[[#This Row],[Imp. Level]]/SUMIF(Master_Data[Subject],Master_Data[[#This Row],[Subject]],Master_Data[Imp. Level])</f>
        <v>7.8125E-2</v>
      </c>
      <c r="AF58" s="144">
        <f>Master_Data[[#This Row],[Subjectwise weights]]*Master_Data[[#This Row],[Confidence Level]]</f>
        <v>0.15625</v>
      </c>
      <c r="AG58" s="145" t="str">
        <f>IF(AND(Master_Data[[#This Row],[Prac. Book]]="D",Master_Data[[#This Row],[GARP EOC Ques.]]="D"),"D","U")</f>
        <v>U</v>
      </c>
      <c r="AH58" s="255" t="str">
        <f>Master_Data[[#This Row],[GARP 10 Yr Papers]]</f>
        <v>U</v>
      </c>
    </row>
    <row r="59" spans="2:34" ht="27" customHeight="1" x14ac:dyDescent="0.3">
      <c r="B59" s="3">
        <v>51</v>
      </c>
      <c r="C59" s="166" t="str">
        <f ca="1">IF(Master_Data[[#This Row],[Column1]]="Done","",IF(Master_Data[[#This Row],[Column1]]=MIN(Master_Data[Column1]),"Current Week",CONCATENATE("Week ",Master_Data[[#This Row],[Column1]])))</f>
        <v>Week 26</v>
      </c>
      <c r="D59" s="3">
        <f ca="1">IF(Master_Data[[#This Row],[Cum. Undone hrs]]=0,"Done",ROUNDUP(Master_Data[[#This Row],[Cum. Undone hrs]]/Working!$C$8,0))</f>
        <v>26</v>
      </c>
      <c r="E59" s="3">
        <f ca="1">IF(OR(D59=D58,D59=D58+1),Master_Data[[#This Row],[Column1]],D59-1)</f>
        <v>26</v>
      </c>
      <c r="F59" s="11">
        <f>SUM($G$9:G59)</f>
        <v>8.24861111111111</v>
      </c>
      <c r="G59" s="256">
        <f>IF(Master_Data[[#This Row],[Lectures]]="D","",Master_Data[[#This Row],[Duration (hh:mm)]])</f>
        <v>6.3888888888888884E-2</v>
      </c>
      <c r="H59" s="2" t="s">
        <v>185</v>
      </c>
      <c r="I59" s="2">
        <v>54</v>
      </c>
      <c r="J59" s="2" t="s">
        <v>94</v>
      </c>
      <c r="K59" s="36" t="s">
        <v>200</v>
      </c>
      <c r="L59" s="257">
        <v>1</v>
      </c>
      <c r="M59" s="12">
        <v>8</v>
      </c>
      <c r="N59" s="35">
        <v>2</v>
      </c>
      <c r="O59" s="35">
        <v>1</v>
      </c>
      <c r="P59" s="35">
        <v>3</v>
      </c>
      <c r="Q59" s="35">
        <v>3</v>
      </c>
      <c r="R59" s="35">
        <v>3</v>
      </c>
      <c r="S59" s="35">
        <v>3</v>
      </c>
      <c r="T59" s="254">
        <v>6.3888888888888884E-2</v>
      </c>
      <c r="U59" s="34">
        <f>(SUM($T$9:T59)/$T$4)*100</f>
        <v>91.665380459947542</v>
      </c>
      <c r="V59" s="19" t="s">
        <v>6</v>
      </c>
      <c r="W59" s="19" t="s">
        <v>6</v>
      </c>
      <c r="X59" s="19" t="s">
        <v>6</v>
      </c>
      <c r="Y59" s="19" t="s">
        <v>6</v>
      </c>
      <c r="Z59" s="19" t="s">
        <v>6</v>
      </c>
      <c r="AA59" s="19" t="s">
        <v>6</v>
      </c>
      <c r="AB59" s="146">
        <v>3</v>
      </c>
      <c r="AC59" s="13"/>
      <c r="AD59" s="161">
        <f>R59/SUM($R$9:$R$65)</f>
        <v>1.3513513513513514E-2</v>
      </c>
      <c r="AE59" s="162">
        <f>Master_Data[[#This Row],[Imp. Level]]/SUMIF(Master_Data[Subject],Master_Data[[#This Row],[Subject]],Master_Data[Imp. Level])</f>
        <v>4.6875E-2</v>
      </c>
      <c r="AF59" s="144">
        <f>Master_Data[[#This Row],[Subjectwise weights]]*Master_Data[[#This Row],[Confidence Level]]</f>
        <v>0.140625</v>
      </c>
      <c r="AG59" s="145" t="str">
        <f>IF(AND(Master_Data[[#This Row],[Prac. Book]]="D",Master_Data[[#This Row],[GARP EOC Ques.]]="D"),"D","U")</f>
        <v>U</v>
      </c>
      <c r="AH59" s="255" t="str">
        <f>Master_Data[[#This Row],[GARP 10 Yr Papers]]</f>
        <v>U</v>
      </c>
    </row>
    <row r="60" spans="2:34" ht="27" customHeight="1" x14ac:dyDescent="0.3">
      <c r="B60" s="3">
        <v>52</v>
      </c>
      <c r="C60" s="166" t="str">
        <f ca="1">IF(Master_Data[[#This Row],[Column1]]="Done","",IF(Master_Data[[#This Row],[Column1]]=MIN(Master_Data[Column1]),"Current Week",CONCATENATE("Week ",Master_Data[[#This Row],[Column1]])))</f>
        <v>Week 27</v>
      </c>
      <c r="D60" s="3">
        <f ca="1">IF(Master_Data[[#This Row],[Cum. Undone hrs]]=0,"Done",ROUNDUP(Master_Data[[#This Row],[Cum. Undone hrs]]/Working!$C$8,0))</f>
        <v>27</v>
      </c>
      <c r="E60" s="3">
        <f ca="1">IF(OR(D60=D59,D60=D59+1),Master_Data[[#This Row],[Column1]],D60-1)</f>
        <v>27</v>
      </c>
      <c r="F60" s="11">
        <f>SUM($G$9:G60)</f>
        <v>8.3694444444444436</v>
      </c>
      <c r="G60" s="256">
        <f>IF(Master_Data[[#This Row],[Lectures]]="D","",Master_Data[[#This Row],[Duration (hh:mm)]])</f>
        <v>0.12083333333333333</v>
      </c>
      <c r="H60" s="2" t="s">
        <v>185</v>
      </c>
      <c r="I60" s="2">
        <v>52</v>
      </c>
      <c r="J60" s="2" t="s">
        <v>95</v>
      </c>
      <c r="K60" s="36" t="s">
        <v>201</v>
      </c>
      <c r="L60" s="257">
        <v>1</v>
      </c>
      <c r="M60" s="12">
        <v>11</v>
      </c>
      <c r="N60" s="35">
        <v>3</v>
      </c>
      <c r="O60" s="35">
        <v>3</v>
      </c>
      <c r="P60" s="35">
        <v>4</v>
      </c>
      <c r="Q60" s="35">
        <v>4</v>
      </c>
      <c r="R60" s="35">
        <v>4</v>
      </c>
      <c r="S60" s="35">
        <v>4</v>
      </c>
      <c r="T60" s="254">
        <v>0.12083333333333333</v>
      </c>
      <c r="U60" s="34">
        <f>(SUM($T$9:T60)/$T$4)*100</f>
        <v>93.008180274733775</v>
      </c>
      <c r="V60" s="19" t="s">
        <v>6</v>
      </c>
      <c r="W60" s="19" t="s">
        <v>6</v>
      </c>
      <c r="X60" s="19" t="s">
        <v>6</v>
      </c>
      <c r="Y60" s="19" t="s">
        <v>6</v>
      </c>
      <c r="Z60" s="19" t="s">
        <v>6</v>
      </c>
      <c r="AA60" s="19" t="s">
        <v>6</v>
      </c>
      <c r="AB60" s="146">
        <v>3</v>
      </c>
      <c r="AC60" s="13"/>
      <c r="AD60" s="161">
        <f>R60/SUM($R$9:$R$65)</f>
        <v>1.8018018018018018E-2</v>
      </c>
      <c r="AE60" s="162">
        <f>Master_Data[[#This Row],[Imp. Level]]/SUMIF(Master_Data[Subject],Master_Data[[#This Row],[Subject]],Master_Data[Imp. Level])</f>
        <v>6.25E-2</v>
      </c>
      <c r="AF60" s="144">
        <f>Master_Data[[#This Row],[Subjectwise weights]]*Master_Data[[#This Row],[Confidence Level]]</f>
        <v>0.1875</v>
      </c>
      <c r="AG60" s="145" t="str">
        <f>IF(AND(Master_Data[[#This Row],[Prac. Book]]="D",Master_Data[[#This Row],[GARP EOC Ques.]]="D"),"D","U")</f>
        <v>U</v>
      </c>
      <c r="AH60" s="255" t="str">
        <f>Master_Data[[#This Row],[GARP 10 Yr Papers]]</f>
        <v>U</v>
      </c>
    </row>
    <row r="61" spans="2:34" ht="27" customHeight="1" x14ac:dyDescent="0.3">
      <c r="B61" s="3">
        <v>53</v>
      </c>
      <c r="C61" s="166" t="str">
        <f ca="1">IF(Master_Data[[#This Row],[Column1]]="Done","",IF(Master_Data[[#This Row],[Column1]]=MIN(Master_Data[Column1]),"Current Week",CONCATENATE("Week ",Master_Data[[#This Row],[Column1]])))</f>
        <v>Week 27</v>
      </c>
      <c r="D61" s="3">
        <f ca="1">IF(Master_Data[[#This Row],[Cum. Undone hrs]]=0,"Done",ROUNDUP(Master_Data[[#This Row],[Cum. Undone hrs]]/Working!$C$8,0))</f>
        <v>27</v>
      </c>
      <c r="E61" s="3">
        <f ca="1">IF(OR(D61=D60,D61=D60+1),Master_Data[[#This Row],[Column1]],D61-1)</f>
        <v>27</v>
      </c>
      <c r="F61" s="11">
        <f>SUM($G$9:G61)</f>
        <v>8.5270833333333318</v>
      </c>
      <c r="G61" s="256">
        <f>IF(Master_Data[[#This Row],[Lectures]]="D","",Master_Data[[#This Row],[Duration (hh:mm)]])</f>
        <v>0.15763888888888888</v>
      </c>
      <c r="H61" s="2" t="s">
        <v>185</v>
      </c>
      <c r="I61" s="2">
        <v>53</v>
      </c>
      <c r="J61" s="2" t="s">
        <v>95</v>
      </c>
      <c r="K61" s="36" t="s">
        <v>202</v>
      </c>
      <c r="L61" s="257">
        <v>1</v>
      </c>
      <c r="M61" s="12">
        <v>10</v>
      </c>
      <c r="N61" s="35">
        <v>5</v>
      </c>
      <c r="O61" s="35">
        <v>2</v>
      </c>
      <c r="P61" s="35">
        <v>3</v>
      </c>
      <c r="Q61" s="35">
        <v>4</v>
      </c>
      <c r="R61" s="35">
        <v>4</v>
      </c>
      <c r="S61" s="35">
        <v>4</v>
      </c>
      <c r="T61" s="254">
        <v>0.15763888888888888</v>
      </c>
      <c r="U61" s="34">
        <f>(SUM($T$9:T61)/$T$4)*100</f>
        <v>94.759993826207761</v>
      </c>
      <c r="V61" s="19" t="s">
        <v>6</v>
      </c>
      <c r="W61" s="19" t="s">
        <v>6</v>
      </c>
      <c r="X61" s="19" t="s">
        <v>6</v>
      </c>
      <c r="Y61" s="19" t="s">
        <v>6</v>
      </c>
      <c r="Z61" s="19" t="s">
        <v>6</v>
      </c>
      <c r="AA61" s="19" t="s">
        <v>6</v>
      </c>
      <c r="AB61" s="146">
        <v>3</v>
      </c>
      <c r="AC61" s="13"/>
      <c r="AD61" s="161">
        <f>R61/SUM($R$9:$R$65)</f>
        <v>1.8018018018018018E-2</v>
      </c>
      <c r="AE61" s="162">
        <f>Master_Data[[#This Row],[Imp. Level]]/SUMIF(Master_Data[Subject],Master_Data[[#This Row],[Subject]],Master_Data[Imp. Level])</f>
        <v>6.25E-2</v>
      </c>
      <c r="AF61" s="144">
        <f>Master_Data[[#This Row],[Subjectwise weights]]*Master_Data[[#This Row],[Confidence Level]]</f>
        <v>0.1875</v>
      </c>
      <c r="AG61" s="145" t="str">
        <f>IF(AND(Master_Data[[#This Row],[Prac. Book]]="D",Master_Data[[#This Row],[GARP EOC Ques.]]="D"),"D","U")</f>
        <v>U</v>
      </c>
      <c r="AH61" s="255" t="str">
        <f>Master_Data[[#This Row],[GARP 10 Yr Papers]]</f>
        <v>U</v>
      </c>
    </row>
    <row r="62" spans="2:34" ht="27" customHeight="1" x14ac:dyDescent="0.3">
      <c r="B62" s="3">
        <v>54</v>
      </c>
      <c r="C62" s="166" t="str">
        <f ca="1">IF(Master_Data[[#This Row],[Column1]]="Done","",IF(Master_Data[[#This Row],[Column1]]=MIN(Master_Data[Column1]),"Current Week",CONCATENATE("Week ",Master_Data[[#This Row],[Column1]])))</f>
        <v>Week 28</v>
      </c>
      <c r="D62" s="3">
        <f ca="1">IF(Master_Data[[#This Row],[Cum. Undone hrs]]=0,"Done",ROUNDUP(Master_Data[[#This Row],[Cum. Undone hrs]]/Working!$C$8,0))</f>
        <v>28</v>
      </c>
      <c r="E62" s="3">
        <f ca="1">IF(OR(D62=D61,D62=D61+1),Master_Data[[#This Row],[Column1]],D62-1)</f>
        <v>28</v>
      </c>
      <c r="F62" s="11">
        <f>SUM($G$9:G62)</f>
        <v>8.6243055555555532</v>
      </c>
      <c r="G62" s="256">
        <f>IF(Master_Data[[#This Row],[Lectures]]="D","",Master_Data[[#This Row],[Duration (hh:mm)]])</f>
        <v>9.7222222222222224E-2</v>
      </c>
      <c r="H62" s="2" t="s">
        <v>163</v>
      </c>
      <c r="I62" s="2">
        <v>9</v>
      </c>
      <c r="J62" s="2" t="s">
        <v>94</v>
      </c>
      <c r="K62" s="36" t="s">
        <v>203</v>
      </c>
      <c r="L62" s="257">
        <v>1</v>
      </c>
      <c r="M62" s="12">
        <v>10</v>
      </c>
      <c r="N62" s="35">
        <v>3</v>
      </c>
      <c r="O62" s="35">
        <v>1</v>
      </c>
      <c r="P62" s="35">
        <v>4</v>
      </c>
      <c r="Q62" s="35">
        <v>4</v>
      </c>
      <c r="R62" s="35">
        <v>4</v>
      </c>
      <c r="S62" s="35">
        <v>5</v>
      </c>
      <c r="T62" s="254">
        <v>9.7222222222222224E-2</v>
      </c>
      <c r="U62" s="34">
        <f>(SUM($T$9:T62)/$T$4)*100</f>
        <v>95.840407470288625</v>
      </c>
      <c r="V62" s="19" t="s">
        <v>6</v>
      </c>
      <c r="W62" s="19" t="s">
        <v>6</v>
      </c>
      <c r="X62" s="19" t="s">
        <v>6</v>
      </c>
      <c r="Y62" s="19" t="s">
        <v>6</v>
      </c>
      <c r="Z62" s="19" t="s">
        <v>6</v>
      </c>
      <c r="AA62" s="19" t="s">
        <v>6</v>
      </c>
      <c r="AB62" s="146">
        <v>3</v>
      </c>
      <c r="AC62" s="13"/>
      <c r="AD62" s="161">
        <f>R62/SUM($R$9:$R$65)</f>
        <v>1.8018018018018018E-2</v>
      </c>
      <c r="AE62" s="162">
        <f>Master_Data[[#This Row],[Imp. Level]]/SUMIF(Master_Data[Subject],Master_Data[[#This Row],[Subject]],Master_Data[Imp. Level])</f>
        <v>0.10256410256410256</v>
      </c>
      <c r="AF62" s="144">
        <f>Master_Data[[#This Row],[Subjectwise weights]]*Master_Data[[#This Row],[Confidence Level]]</f>
        <v>0.30769230769230771</v>
      </c>
      <c r="AG62" s="145" t="str">
        <f>IF(AND(Master_Data[[#This Row],[Prac. Book]]="D",Master_Data[[#This Row],[GARP EOC Ques.]]="D"),"D","U")</f>
        <v>U</v>
      </c>
      <c r="AH62" s="255" t="str">
        <f>Master_Data[[#This Row],[GARP 10 Yr Papers]]</f>
        <v>U</v>
      </c>
    </row>
    <row r="63" spans="2:34" ht="27" customHeight="1" x14ac:dyDescent="0.3">
      <c r="B63" s="3">
        <v>55</v>
      </c>
      <c r="C63" s="166" t="str">
        <f ca="1">IF(Master_Data[[#This Row],[Column1]]="Done","",IF(Master_Data[[#This Row],[Column1]]=MIN(Master_Data[Column1]),"Current Week",CONCATENATE("Week ",Master_Data[[#This Row],[Column1]])))</f>
        <v>Week 28</v>
      </c>
      <c r="D63" s="3">
        <f ca="1">IF(Master_Data[[#This Row],[Cum. Undone hrs]]=0,"Done",ROUNDUP(Master_Data[[#This Row],[Cum. Undone hrs]]/Working!$C$8,0))</f>
        <v>28</v>
      </c>
      <c r="E63" s="3">
        <f ca="1">IF(OR(D63=D62,D63=D62+1),Master_Data[[#This Row],[Column1]],D63-1)</f>
        <v>28</v>
      </c>
      <c r="F63" s="11">
        <f>SUM($G$9:G63)</f>
        <v>8.7798611111111082</v>
      </c>
      <c r="G63" s="256">
        <f>IF(Master_Data[[#This Row],[Lectures]]="D","",Master_Data[[#This Row],[Duration (hh:mm)]])</f>
        <v>0.15555555555555556</v>
      </c>
      <c r="H63" s="2" t="s">
        <v>163</v>
      </c>
      <c r="I63" s="2">
        <v>8</v>
      </c>
      <c r="J63" s="2" t="s">
        <v>95</v>
      </c>
      <c r="K63" s="36" t="s">
        <v>204</v>
      </c>
      <c r="L63" s="257">
        <v>1</v>
      </c>
      <c r="M63" s="12">
        <v>6</v>
      </c>
      <c r="N63" s="35">
        <v>3</v>
      </c>
      <c r="O63" s="35">
        <v>1</v>
      </c>
      <c r="P63" s="35">
        <v>2</v>
      </c>
      <c r="Q63" s="35">
        <v>2</v>
      </c>
      <c r="R63" s="35">
        <v>3</v>
      </c>
      <c r="S63" s="35">
        <v>3</v>
      </c>
      <c r="T63" s="254">
        <v>0.15555555555555556</v>
      </c>
      <c r="U63" s="34">
        <f>(SUM($T$9:T63)/$T$4)*100</f>
        <v>97.569069300818029</v>
      </c>
      <c r="V63" s="19" t="s">
        <v>6</v>
      </c>
      <c r="W63" s="19" t="s">
        <v>6</v>
      </c>
      <c r="X63" s="19" t="s">
        <v>6</v>
      </c>
      <c r="Y63" s="19" t="s">
        <v>6</v>
      </c>
      <c r="Z63" s="19" t="s">
        <v>6</v>
      </c>
      <c r="AA63" s="19" t="s">
        <v>6</v>
      </c>
      <c r="AB63" s="146">
        <v>3</v>
      </c>
      <c r="AC63" s="13"/>
      <c r="AD63" s="161">
        <f>R63/SUM($R$9:$R$65)</f>
        <v>1.3513513513513514E-2</v>
      </c>
      <c r="AE63" s="162">
        <f>Master_Data[[#This Row],[Imp. Level]]/SUMIF(Master_Data[Subject],Master_Data[[#This Row],[Subject]],Master_Data[Imp. Level])</f>
        <v>7.6923076923076927E-2</v>
      </c>
      <c r="AF63" s="144">
        <f>Master_Data[[#This Row],[Subjectwise weights]]*Master_Data[[#This Row],[Confidence Level]]</f>
        <v>0.23076923076923078</v>
      </c>
      <c r="AG63" s="145" t="str">
        <f>IF(AND(Master_Data[[#This Row],[Prac. Book]]="D",Master_Data[[#This Row],[GARP EOC Ques.]]="D"),"D","U")</f>
        <v>U</v>
      </c>
      <c r="AH63" s="255" t="str">
        <f>Master_Data[[#This Row],[GARP 10 Yr Papers]]</f>
        <v>U</v>
      </c>
    </row>
    <row r="64" spans="2:34" ht="27" customHeight="1" x14ac:dyDescent="0.3">
      <c r="B64" s="3">
        <v>56</v>
      </c>
      <c r="C64" s="166" t="str">
        <f ca="1">IF(Master_Data[[#This Row],[Column1]]="Done","",IF(Master_Data[[#This Row],[Column1]]=MIN(Master_Data[Column1]),"Current Week",CONCATENATE("Week ",Master_Data[[#This Row],[Column1]])))</f>
        <v>Week 29</v>
      </c>
      <c r="D64" s="3">
        <f ca="1">IF(Master_Data[[#This Row],[Cum. Undone hrs]]=0,"Done",ROUNDUP(Master_Data[[#This Row],[Cum. Undone hrs]]/Working!$C$8,0))</f>
        <v>29</v>
      </c>
      <c r="E64" s="3">
        <f ca="1">IF(OR(D64=D63,D64=D63+1),Master_Data[[#This Row],[Column1]],D64-1)</f>
        <v>29</v>
      </c>
      <c r="F64" s="11">
        <f>SUM($G$9:G65)</f>
        <v>8.9986111111111082</v>
      </c>
      <c r="G64" s="256">
        <f>IF(Master_Data[[#This Row],[Lectures]]="D","",Master_Data[[#This Row],[Duration (hh:mm)]])</f>
        <v>8.611111111111111E-2</v>
      </c>
      <c r="H64" s="2" t="s">
        <v>163</v>
      </c>
      <c r="I64" s="2">
        <v>3</v>
      </c>
      <c r="J64" s="2" t="s">
        <v>95</v>
      </c>
      <c r="K64" s="36" t="s">
        <v>205</v>
      </c>
      <c r="L64" s="257">
        <v>1</v>
      </c>
      <c r="M64" s="12">
        <v>6</v>
      </c>
      <c r="N64" s="35">
        <v>3</v>
      </c>
      <c r="O64" s="35">
        <v>1</v>
      </c>
      <c r="P64" s="35">
        <v>2</v>
      </c>
      <c r="Q64" s="35">
        <v>3</v>
      </c>
      <c r="R64" s="35">
        <v>3</v>
      </c>
      <c r="S64" s="35">
        <v>3</v>
      </c>
      <c r="T64" s="254">
        <v>8.611111111111111E-2</v>
      </c>
      <c r="U64" s="34">
        <f>(SUM($T$9:T64)/$T$4)*100</f>
        <v>98.526007099861076</v>
      </c>
      <c r="V64" s="19" t="s">
        <v>6</v>
      </c>
      <c r="W64" s="19" t="s">
        <v>6</v>
      </c>
      <c r="X64" s="19" t="s">
        <v>6</v>
      </c>
      <c r="Y64" s="19" t="s">
        <v>6</v>
      </c>
      <c r="Z64" s="19" t="s">
        <v>6</v>
      </c>
      <c r="AA64" s="19" t="s">
        <v>6</v>
      </c>
      <c r="AB64" s="146">
        <v>2</v>
      </c>
      <c r="AC64" s="13"/>
      <c r="AD64" s="161">
        <f>R64/SUM($R$9:$R$65)</f>
        <v>1.3513513513513514E-2</v>
      </c>
      <c r="AE64" s="162">
        <f>Master_Data[[#This Row],[Imp. Level]]/SUMIF(Master_Data[Subject],Master_Data[[#This Row],[Subject]],Master_Data[Imp. Level])</f>
        <v>7.6923076923076927E-2</v>
      </c>
      <c r="AF64" s="144">
        <f>Master_Data[[#This Row],[Subjectwise weights]]*Master_Data[[#This Row],[Confidence Level]]</f>
        <v>0.15384615384615385</v>
      </c>
      <c r="AG64" s="145" t="str">
        <f>IF(AND(Master_Data[[#This Row],[Prac. Book]]="D",Master_Data[[#This Row],[GARP EOC Ques.]]="D"),"D","U")</f>
        <v>U</v>
      </c>
      <c r="AH64" s="255" t="str">
        <f>Master_Data[[#This Row],[GARP 10 Yr Papers]]</f>
        <v>U</v>
      </c>
    </row>
    <row r="65" spans="2:34" ht="27" customHeight="1" x14ac:dyDescent="0.3">
      <c r="B65" s="3">
        <v>57</v>
      </c>
      <c r="C65" s="166" t="str">
        <f ca="1">IF(Master_Data[[#This Row],[Column1]]="Done","",IF(Master_Data[[#This Row],[Column1]]=MIN(Master_Data[Column1]),"Current Week",CONCATENATE("Week ",Master_Data[[#This Row],[Column1]])))</f>
        <v>Week 29</v>
      </c>
      <c r="D65" s="3">
        <f ca="1">IF(Master_Data[[#This Row],[Cum. Undone hrs]]=0,"Done",ROUNDUP(Master_Data[[#This Row],[Cum. Undone hrs]]/Working!$C$8,0))</f>
        <v>29</v>
      </c>
      <c r="E65" s="3">
        <f ca="1">IF(OR(D65=D64,D65=D64+1),Master_Data[[#This Row],[Column1]],D65-1)</f>
        <v>29</v>
      </c>
      <c r="F65" s="11">
        <f>SUM($G$9:G65)</f>
        <v>8.9986111111111082</v>
      </c>
      <c r="G65" s="256">
        <f>IF(Master_Data[[#This Row],[Lectures]]="D","",Master_Data[[#This Row],[Duration (hh:mm)]])</f>
        <v>0.13263888888888889</v>
      </c>
      <c r="H65" s="2" t="s">
        <v>163</v>
      </c>
      <c r="I65" s="2">
        <v>2</v>
      </c>
      <c r="J65" s="2" t="s">
        <v>95</v>
      </c>
      <c r="K65" s="36" t="s">
        <v>228</v>
      </c>
      <c r="L65" s="257">
        <v>1</v>
      </c>
      <c r="M65" s="12">
        <v>5</v>
      </c>
      <c r="N65" s="35">
        <v>3</v>
      </c>
      <c r="O65" s="35">
        <v>1</v>
      </c>
      <c r="P65" s="35">
        <v>3</v>
      </c>
      <c r="Q65" s="35">
        <v>3</v>
      </c>
      <c r="R65" s="35">
        <v>3</v>
      </c>
      <c r="S65" s="35">
        <v>3</v>
      </c>
      <c r="T65" s="254">
        <v>0.13263888888888889</v>
      </c>
      <c r="U65" s="34">
        <f>(SUM($T$9:T65)/$T$4)*100</f>
        <v>100</v>
      </c>
      <c r="V65" s="19" t="s">
        <v>6</v>
      </c>
      <c r="W65" s="19" t="s">
        <v>6</v>
      </c>
      <c r="X65" s="19" t="s">
        <v>6</v>
      </c>
      <c r="Y65" s="19" t="s">
        <v>6</v>
      </c>
      <c r="Z65" s="19" t="s">
        <v>6</v>
      </c>
      <c r="AA65" s="19" t="s">
        <v>6</v>
      </c>
      <c r="AB65" s="146">
        <v>3</v>
      </c>
      <c r="AC65" s="13"/>
      <c r="AD65" s="161">
        <f>R65/SUM($R$9:$R$65)</f>
        <v>1.3513513513513514E-2</v>
      </c>
      <c r="AE65" s="162">
        <f>Master_Data[[#This Row],[Imp. Level]]/SUMIF(Master_Data[Subject],Master_Data[[#This Row],[Subject]],Master_Data[Imp. Level])</f>
        <v>7.6923076923076927E-2</v>
      </c>
      <c r="AF65" s="144">
        <f>Master_Data[[#This Row],[Subjectwise weights]]*Master_Data[[#This Row],[Confidence Level]]</f>
        <v>0.23076923076923078</v>
      </c>
      <c r="AG65" s="145" t="str">
        <f>IF(AND(Master_Data[[#This Row],[Prac. Book]]="D",Master_Data[[#This Row],[GARP EOC Ques.]]="D"),"D","U")</f>
        <v>U</v>
      </c>
      <c r="AH65" s="255" t="str">
        <f>Master_Data[[#This Row],[GARP 10 Yr Papers]]</f>
        <v>U</v>
      </c>
    </row>
  </sheetData>
  <sheetProtection algorithmName="SHA-512" hashValue="b3+QdB6gKxW8Vso6vIHc1JjsoYmryXS3xbm/xH5lYKCRqUg4is+tR5yIYsSxApLZcnILKVDIduM5SgRcmuLsZA==" saltValue="yMhyNroRh59al+KWixUp9Q==" spinCount="100000" sheet="1" selectLockedCells="1"/>
  <mergeCells count="3">
    <mergeCell ref="B4:Q5"/>
    <mergeCell ref="R4:S4"/>
    <mergeCell ref="R5:S5"/>
  </mergeCells>
  <phoneticPr fontId="30" type="noConversion"/>
  <conditionalFormatting sqref="C9:C65">
    <cfRule type="containsText" dxfId="7" priority="5" operator="containsText" text="Current Week">
      <formula>NOT(ISERROR(SEARCH("Current Week",C9)))</formula>
    </cfRule>
  </conditionalFormatting>
  <conditionalFormatting sqref="K9:L65">
    <cfRule type="expression" dxfId="6" priority="29">
      <formula>$J9="changes"</formula>
    </cfRule>
    <cfRule type="expression" dxfId="5" priority="30">
      <formula>$J9="new"</formula>
    </cfRule>
  </conditionalFormatting>
  <conditionalFormatting sqref="M9:M65">
    <cfRule type="colorScale" priority="401">
      <colorScale>
        <cfvo type="min"/>
        <cfvo type="max"/>
        <color theme="2" tint="-9.9978637043366805E-2"/>
        <color theme="2" tint="-0.749992370372631"/>
      </colorScale>
    </cfRule>
  </conditionalFormatting>
  <conditionalFormatting sqref="N9:S65">
    <cfRule type="colorScale" priority="402">
      <colorScale>
        <cfvo type="min"/>
        <cfvo type="max"/>
        <color theme="0"/>
        <color theme="0" tint="-0.14999847407452621"/>
      </colorScale>
    </cfRule>
  </conditionalFormatting>
  <conditionalFormatting sqref="T4:T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65">
    <cfRule type="colorScale" priority="403">
      <colorScale>
        <cfvo type="min"/>
        <cfvo type="max"/>
        <color theme="0"/>
        <color theme="7" tint="0.39997558519241921"/>
      </colorScale>
    </cfRule>
  </conditionalFormatting>
  <conditionalFormatting sqref="U4:U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65">
    <cfRule type="dataBar" priority="404">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AA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A65">
    <cfRule type="containsText" dxfId="4" priority="13" operator="containsText" text="D">
      <formula>NOT(ISERROR(SEARCH("D",V9)))</formula>
    </cfRule>
    <cfRule type="containsText" dxfId="3" priority="14" operator="containsText" text="U">
      <formula>NOT(ISERROR(SEARCH("U",V9)))</formula>
    </cfRule>
  </conditionalFormatting>
  <conditionalFormatting sqref="AB4:AB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B9:AB65">
    <cfRule type="colorScale" priority="405">
      <colorScale>
        <cfvo type="min"/>
        <cfvo type="max"/>
        <color theme="0"/>
        <color theme="0" tint="-0.14999847407452621"/>
      </colorScale>
    </cfRule>
  </conditionalFormatting>
  <conditionalFormatting sqref="AE9:AE65">
    <cfRule type="expression" dxfId="2" priority="7">
      <formula>#REF!="C"</formula>
    </cfRule>
    <cfRule type="expression" dxfId="1" priority="8">
      <formula>#REF!="B"</formula>
    </cfRule>
    <cfRule type="expression" dxfId="0" priority="9">
      <formula>#REF!="A"</formula>
    </cfRule>
  </conditionalFormatting>
  <dataValidations count="2">
    <dataValidation type="whole" allowBlank="1" showInputMessage="1" showErrorMessage="1" errorTitle="Confidence Level" error="Please Rate your Confidence Level on the Scale of 1-5." sqref="AB9:AB65" xr:uid="{6CB7B2CB-1406-4433-95D0-2AC9E3606557}">
      <formula1>1</formula1>
      <formula2>5</formula2>
    </dataValidation>
    <dataValidation type="list" allowBlank="1" showInputMessage="1" sqref="V9:AA65"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U9:U65</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V4:AA5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AB4:AB5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J85"/>
  <sheetViews>
    <sheetView showGridLines="0" zoomScale="90" zoomScaleNormal="90" workbookViewId="0">
      <selection activeCell="I37" sqref="I37"/>
    </sheetView>
  </sheetViews>
  <sheetFormatPr defaultColWidth="9.1796875" defaultRowHeight="15.5" x14ac:dyDescent="0.35"/>
  <cols>
    <col min="1" max="1" width="9.1796875" style="20"/>
    <col min="2" max="2" width="3.453125" style="20" customWidth="1"/>
    <col min="3" max="3" width="23.81640625" style="20" customWidth="1"/>
    <col min="4" max="4" width="12.1796875" style="20" customWidth="1"/>
    <col min="5" max="5" width="9.81640625" style="20" customWidth="1"/>
    <col min="6" max="6" width="11.7265625" style="20" hidden="1" customWidth="1"/>
    <col min="7" max="7" width="10.54296875" style="20" customWidth="1"/>
    <col min="8" max="8" width="10.7265625" style="20" customWidth="1"/>
    <col min="9" max="9" width="10.7265625" style="21" customWidth="1"/>
    <col min="10" max="10" width="14.1796875" style="21" customWidth="1"/>
    <col min="11" max="11" width="12.26953125" style="21" customWidth="1"/>
    <col min="12" max="12" width="10.54296875" style="20" customWidth="1"/>
    <col min="13" max="13" width="9.1796875" style="22"/>
    <col min="14" max="14" width="10.26953125" style="22" customWidth="1"/>
    <col min="15" max="15" width="12" style="22" customWidth="1"/>
    <col min="16" max="16" width="4.453125" style="22" customWidth="1"/>
    <col min="17" max="17" width="11.54296875" style="22" customWidth="1"/>
    <col min="18" max="18" width="17.1796875" style="22" bestFit="1" customWidth="1"/>
    <col min="19" max="26" width="9.1796875" style="22"/>
    <col min="27" max="16384" width="9.1796875" style="20"/>
  </cols>
  <sheetData>
    <row r="1" spans="2:20" ht="8.5" customHeight="1" x14ac:dyDescent="0.35"/>
    <row r="2" spans="2:20" s="68" customFormat="1" ht="15.75" customHeight="1" x14ac:dyDescent="0.35">
      <c r="C2" s="271" t="s">
        <v>8</v>
      </c>
      <c r="D2" s="271"/>
      <c r="E2" s="271"/>
      <c r="F2" s="271"/>
      <c r="G2" s="271"/>
      <c r="H2" s="271"/>
      <c r="I2" s="271"/>
      <c r="J2" s="271"/>
      <c r="K2" s="271"/>
      <c r="L2" s="271"/>
    </row>
    <row r="3" spans="2:20" s="68" customFormat="1" ht="11.5" customHeight="1" x14ac:dyDescent="0.35">
      <c r="C3" s="271"/>
      <c r="D3" s="271"/>
      <c r="E3" s="271"/>
      <c r="F3" s="271"/>
      <c r="G3" s="271"/>
      <c r="H3" s="271"/>
      <c r="I3" s="271"/>
      <c r="J3" s="271"/>
      <c r="K3" s="271"/>
      <c r="L3" s="271"/>
    </row>
    <row r="4" spans="2:20" s="22" customFormat="1" ht="11.5" customHeight="1" x14ac:dyDescent="0.35">
      <c r="C4" s="47"/>
      <c r="D4" s="47"/>
      <c r="E4" s="47"/>
      <c r="F4" s="47"/>
      <c r="G4" s="47"/>
      <c r="H4" s="47"/>
      <c r="I4" s="47"/>
      <c r="J4" s="47"/>
      <c r="K4" s="47"/>
      <c r="L4" s="47"/>
    </row>
    <row r="5" spans="2:20" s="22" customFormat="1" ht="11.5" customHeight="1" x14ac:dyDescent="0.35">
      <c r="B5" s="278" t="str">
        <f>CONCATENATE("The graph below, with respect to the practice is a simple average of the ",'⏱ Input'!Y8," and ",'⏱ Input'!Z8," and extra practice includes ",'⏱ Input'!AA8)</f>
        <v>The graph below, with respect to the practice is a simple average of the Prac. Book and GARP 10 Yr Papers and extra practice includes GARP EOC Ques.</v>
      </c>
      <c r="C5" s="278"/>
      <c r="D5" s="278"/>
      <c r="E5" s="278"/>
      <c r="F5" s="278"/>
      <c r="G5" s="278"/>
      <c r="H5" s="278"/>
      <c r="I5" s="278"/>
      <c r="J5" s="278"/>
      <c r="K5" s="278"/>
      <c r="L5" s="278"/>
      <c r="M5" s="278"/>
      <c r="N5" s="278"/>
      <c r="O5" s="48"/>
      <c r="P5" s="48"/>
      <c r="Q5" s="48"/>
      <c r="R5" s="48"/>
      <c r="S5" s="48"/>
      <c r="T5" s="48"/>
    </row>
    <row r="6" spans="2:20" s="22" customFormat="1" ht="32.5" customHeight="1" x14ac:dyDescent="0.35">
      <c r="B6" s="278"/>
      <c r="C6" s="278"/>
      <c r="D6" s="278"/>
      <c r="E6" s="278"/>
      <c r="F6" s="278"/>
      <c r="G6" s="278"/>
      <c r="H6" s="278"/>
      <c r="I6" s="278"/>
      <c r="J6" s="278"/>
      <c r="K6" s="278"/>
      <c r="L6" s="278"/>
      <c r="M6" s="278"/>
      <c r="N6" s="278"/>
      <c r="O6" s="48"/>
      <c r="P6" s="48"/>
      <c r="Q6" s="48"/>
      <c r="R6" s="48"/>
      <c r="S6" s="48"/>
      <c r="T6" s="48"/>
    </row>
    <row r="7" spans="2:20" s="22" customFormat="1" ht="15.75" customHeight="1" x14ac:dyDescent="0.35">
      <c r="I7" s="21"/>
      <c r="J7" s="21"/>
      <c r="K7" s="21"/>
      <c r="L7" s="20"/>
    </row>
    <row r="8" spans="2:20" s="22" customFormat="1" ht="15.75" customHeight="1" x14ac:dyDescent="0.35">
      <c r="H8" s="22" t="s">
        <v>148</v>
      </c>
      <c r="I8" s="21"/>
      <c r="J8" s="21"/>
      <c r="K8" s="21"/>
      <c r="L8" s="20"/>
    </row>
    <row r="9" spans="2:20" s="22" customFormat="1" ht="15.75" customHeight="1" x14ac:dyDescent="0.35">
      <c r="I9" s="21"/>
      <c r="J9" s="21"/>
      <c r="K9" s="21"/>
      <c r="L9" s="20"/>
    </row>
    <row r="10" spans="2:20" s="22" customFormat="1" ht="15.75" customHeight="1" x14ac:dyDescent="0.35">
      <c r="I10" s="21"/>
      <c r="J10" s="21"/>
      <c r="K10" s="21"/>
      <c r="L10" s="20"/>
      <c r="P10" s="140" t="s">
        <v>81</v>
      </c>
      <c r="Q10" s="141"/>
    </row>
    <row r="11" spans="2:20" s="22" customFormat="1" ht="15.75" customHeight="1" x14ac:dyDescent="0.35">
      <c r="I11" s="21"/>
      <c r="J11" s="21"/>
      <c r="K11" s="21"/>
      <c r="L11" s="20"/>
      <c r="P11" s="4"/>
      <c r="Q11" s="20" t="s">
        <v>13</v>
      </c>
    </row>
    <row r="12" spans="2:20" s="22" customFormat="1" ht="15.75" customHeight="1" x14ac:dyDescent="0.35">
      <c r="I12" s="21"/>
      <c r="J12" s="21"/>
      <c r="K12" s="21"/>
      <c r="L12" s="20"/>
      <c r="P12" s="5"/>
      <c r="Q12" s="20" t="s">
        <v>12</v>
      </c>
    </row>
    <row r="13" spans="2:20" s="22" customFormat="1" ht="15.75" customHeight="1" x14ac:dyDescent="0.35">
      <c r="I13" s="21"/>
      <c r="J13" s="21"/>
      <c r="K13" s="21"/>
      <c r="L13" s="20"/>
      <c r="P13" s="141"/>
      <c r="Q13" s="20"/>
    </row>
    <row r="14" spans="2:20" s="22" customFormat="1" ht="15.75" customHeight="1" x14ac:dyDescent="0.35">
      <c r="I14" s="21"/>
      <c r="J14" s="21"/>
      <c r="K14" s="21"/>
      <c r="L14" s="20"/>
      <c r="P14" s="141" t="s">
        <v>18</v>
      </c>
      <c r="Q14" s="20"/>
    </row>
    <row r="15" spans="2:20" s="22" customFormat="1" ht="15.75" customHeight="1" x14ac:dyDescent="0.35">
      <c r="I15" s="21"/>
      <c r="J15" s="21"/>
      <c r="K15" s="21"/>
      <c r="L15" s="20"/>
      <c r="P15" s="6"/>
      <c r="Q15" s="20" t="s">
        <v>13</v>
      </c>
    </row>
    <row r="16" spans="2:20" s="22" customFormat="1" ht="15.75" customHeight="1" x14ac:dyDescent="0.35">
      <c r="I16" s="21"/>
      <c r="J16" s="21"/>
      <c r="K16" s="21"/>
      <c r="L16" s="20"/>
      <c r="P16" s="7"/>
      <c r="Q16" s="20" t="s">
        <v>12</v>
      </c>
    </row>
    <row r="17" spans="3:33" s="22" customFormat="1" ht="15.75" customHeight="1" x14ac:dyDescent="0.35">
      <c r="I17" s="21"/>
      <c r="J17" s="21"/>
      <c r="K17" s="21"/>
      <c r="L17" s="20"/>
      <c r="P17" s="20"/>
      <c r="Q17" s="20"/>
    </row>
    <row r="18" spans="3:33" s="22" customFormat="1" ht="15.75" customHeight="1" x14ac:dyDescent="0.35">
      <c r="I18" s="21"/>
      <c r="J18" s="21"/>
      <c r="K18" s="21"/>
      <c r="L18" s="20"/>
      <c r="P18" s="141" t="s">
        <v>24</v>
      </c>
      <c r="Q18" s="20"/>
    </row>
    <row r="19" spans="3:33" s="22" customFormat="1" ht="15.75" customHeight="1" x14ac:dyDescent="0.35">
      <c r="I19" s="21"/>
      <c r="J19" s="21"/>
      <c r="K19" s="21"/>
      <c r="L19" s="20"/>
      <c r="P19" s="16"/>
      <c r="Q19" s="20" t="s">
        <v>13</v>
      </c>
    </row>
    <row r="20" spans="3:33" s="22" customFormat="1" ht="15.75" customHeight="1" x14ac:dyDescent="0.35">
      <c r="I20" s="21"/>
      <c r="J20" s="21"/>
      <c r="K20" s="21"/>
      <c r="L20" s="20"/>
      <c r="P20" s="174"/>
      <c r="Q20" s="20" t="s">
        <v>12</v>
      </c>
    </row>
    <row r="21" spans="3:33" s="22" customFormat="1" ht="15.75" customHeight="1" x14ac:dyDescent="0.35">
      <c r="I21" s="21"/>
      <c r="J21" s="21"/>
      <c r="K21" s="21"/>
      <c r="L21" s="20"/>
      <c r="P21" s="20"/>
      <c r="Q21" s="20"/>
    </row>
    <row r="22" spans="3:33" s="22" customFormat="1" ht="15.75" customHeight="1" x14ac:dyDescent="0.35">
      <c r="I22" s="21"/>
      <c r="J22" s="21"/>
      <c r="K22" s="21"/>
      <c r="L22" s="20"/>
      <c r="P22" s="141" t="s">
        <v>97</v>
      </c>
      <c r="Q22" s="20"/>
    </row>
    <row r="23" spans="3:33" s="22" customFormat="1" ht="15.75" customHeight="1" x14ac:dyDescent="0.35">
      <c r="I23" s="21"/>
      <c r="J23" s="21"/>
      <c r="K23" s="21"/>
      <c r="L23" s="20"/>
      <c r="P23" s="17"/>
      <c r="Q23" s="20" t="s">
        <v>13</v>
      </c>
    </row>
    <row r="24" spans="3:33" s="22" customFormat="1" ht="15.75" customHeight="1" x14ac:dyDescent="0.35">
      <c r="I24" s="21"/>
      <c r="J24" s="21"/>
      <c r="K24" s="21"/>
      <c r="L24" s="20"/>
      <c r="P24" s="18"/>
      <c r="Q24" s="20" t="s">
        <v>12</v>
      </c>
    </row>
    <row r="25" spans="3:33" s="22" customFormat="1" ht="15.75" customHeight="1" x14ac:dyDescent="0.35">
      <c r="I25" s="21"/>
      <c r="J25" s="21"/>
      <c r="K25" s="21"/>
      <c r="L25" s="20"/>
      <c r="P25" s="20"/>
      <c r="Q25" s="20"/>
    </row>
    <row r="26" spans="3:33" s="22" customFormat="1" ht="15.75" customHeight="1" thickBot="1" x14ac:dyDescent="0.4">
      <c r="I26" s="21"/>
      <c r="J26" s="21"/>
      <c r="K26" s="21"/>
      <c r="L26" s="20"/>
      <c r="P26" s="20"/>
      <c r="Q26" s="269" t="s">
        <v>96</v>
      </c>
    </row>
    <row r="27" spans="3:33" s="22" customFormat="1" ht="15.75" customHeight="1" thickTop="1" x14ac:dyDescent="0.35">
      <c r="I27" s="21"/>
      <c r="J27" s="21"/>
      <c r="K27" s="21"/>
      <c r="L27" s="20"/>
      <c r="P27" s="168"/>
      <c r="Q27" s="270"/>
    </row>
    <row r="28" spans="3:33" s="22" customFormat="1" ht="15.75" customHeight="1" x14ac:dyDescent="0.35">
      <c r="I28" s="21"/>
      <c r="J28" s="21"/>
      <c r="K28" s="21"/>
      <c r="L28" s="20"/>
    </row>
    <row r="29" spans="3:33" s="22" customFormat="1" ht="15.75" customHeight="1" x14ac:dyDescent="0.35">
      <c r="I29" s="21"/>
      <c r="J29" s="21"/>
      <c r="K29" s="21"/>
      <c r="L29" s="20"/>
    </row>
    <row r="30" spans="3:33" s="22" customFormat="1" ht="15.75" customHeight="1" x14ac:dyDescent="0.35">
      <c r="I30" s="21"/>
      <c r="J30" s="21"/>
      <c r="K30" s="21"/>
      <c r="L30" s="20"/>
    </row>
    <row r="31" spans="3:33" s="22" customFormat="1" ht="23.25" customHeight="1" x14ac:dyDescent="0.35">
      <c r="C31" s="273" t="s">
        <v>3</v>
      </c>
      <c r="D31" s="272" t="s">
        <v>81</v>
      </c>
      <c r="E31" s="272"/>
      <c r="F31" s="272"/>
      <c r="G31" s="277" t="s">
        <v>18</v>
      </c>
      <c r="H31" s="277"/>
      <c r="I31" s="173" t="s">
        <v>24</v>
      </c>
      <c r="J31" s="253" t="s">
        <v>97</v>
      </c>
      <c r="K31" s="275" t="s">
        <v>98</v>
      </c>
      <c r="L31" s="275" t="s">
        <v>10</v>
      </c>
      <c r="U31" s="21"/>
      <c r="V31" s="21"/>
      <c r="W31" s="21"/>
      <c r="X31" s="21"/>
      <c r="Y31" s="21"/>
      <c r="Z31" s="21"/>
      <c r="AA31" s="21"/>
      <c r="AB31" s="21"/>
      <c r="AC31" s="21"/>
    </row>
    <row r="32" spans="3:33" ht="46.5" customHeight="1" x14ac:dyDescent="0.35">
      <c r="C32" s="274"/>
      <c r="D32" s="147" t="s">
        <v>35</v>
      </c>
      <c r="E32" s="147" t="s">
        <v>30</v>
      </c>
      <c r="F32" s="147" t="s">
        <v>39</v>
      </c>
      <c r="G32" s="148" t="str">
        <f>Master_Data[[#Headers],[Prac. Book]]</f>
        <v>Prac. Book</v>
      </c>
      <c r="H32" s="148" t="str">
        <f>Master_Data[[#Headers],[GARP EOC Ques.]]</f>
        <v>GARP EOC Ques.</v>
      </c>
      <c r="I32" s="149" t="str">
        <f>Master_Data[[#Headers],[Revision]]</f>
        <v>Revision</v>
      </c>
      <c r="J32" s="150" t="str">
        <f>Master_Data[[#Headers],[GARP 10 Yr Papers]]</f>
        <v>GARP 10 Yr Papers</v>
      </c>
      <c r="K32" s="276"/>
      <c r="L32" s="276"/>
      <c r="M32" s="27" t="s">
        <v>19</v>
      </c>
      <c r="N32" s="27" t="s">
        <v>20</v>
      </c>
      <c r="O32" s="27" t="s">
        <v>110</v>
      </c>
      <c r="P32" s="27" t="s">
        <v>21</v>
      </c>
      <c r="Q32" s="27" t="s">
        <v>102</v>
      </c>
      <c r="R32" s="27" t="s">
        <v>103</v>
      </c>
      <c r="S32" s="27" t="s">
        <v>104</v>
      </c>
      <c r="T32" s="27"/>
      <c r="U32" s="27"/>
      <c r="V32" s="27"/>
      <c r="W32" s="27" t="s">
        <v>14</v>
      </c>
      <c r="X32" s="27" t="s">
        <v>15</v>
      </c>
      <c r="Y32" s="27" t="s">
        <v>16</v>
      </c>
      <c r="Z32" s="27" t="s">
        <v>17</v>
      </c>
      <c r="AA32" s="27" t="s">
        <v>105</v>
      </c>
      <c r="AB32" s="27" t="s">
        <v>106</v>
      </c>
      <c r="AC32" s="27" t="s">
        <v>103</v>
      </c>
      <c r="AD32" s="27" t="s">
        <v>107</v>
      </c>
      <c r="AE32" s="27" t="s">
        <v>108</v>
      </c>
      <c r="AF32" s="27" t="s">
        <v>109</v>
      </c>
      <c r="AG32" s="27"/>
    </row>
    <row r="33" spans="2:36" x14ac:dyDescent="0.35">
      <c r="B33" s="129">
        <v>2.5</v>
      </c>
      <c r="C33" s="151" t="s">
        <v>163</v>
      </c>
      <c r="D33" s="152">
        <f>SUMIFS(Master_Data[Duration (hh:mm)],Master_Data[Subject],'📊 Progress'!C33,Master_Data[Lectures],"d")</f>
        <v>0</v>
      </c>
      <c r="E33" s="153">
        <f>SUMIF(Master_Data[Subject],'📊 Progress'!C33,Master_Data[Duration (hh:mm)])</f>
        <v>1.4152777777777779</v>
      </c>
      <c r="F33" s="154">
        <f>SUMIFS(Master_Data[No. of Chapters],Master_Data[Subject],C33,Master_Data[Self Study],"D",Master_Data[Lectures],"D")</f>
        <v>0</v>
      </c>
      <c r="G33" s="154">
        <f>SUMIFS(Master_Data[No. of Chapters],Master_Data[Subject],'📊 Progress'!$C33,Master_Data[Prac. Book],"D")</f>
        <v>0</v>
      </c>
      <c r="H33" s="154">
        <f>SUMIFS(Master_Data[No. of Chapters],Master_Data[Subject],'📊 Progress'!$C33,Master_Data[GARP EOC Ques.],"D")</f>
        <v>0</v>
      </c>
      <c r="I33" s="154">
        <f>SUMIFS(Master_Data[No. of Chapters],Master_Data[Subject],'📊 Progress'!$C33,Master_Data[Revision],"D")</f>
        <v>0</v>
      </c>
      <c r="J33" s="154">
        <f>SUMIFS(Master_Data[No. of Chapters],Master_Data[Subject],'📊 Progress'!$C33,Master_Data[GARP 10 Yr Papers],"D")</f>
        <v>0</v>
      </c>
      <c r="K33" s="155">
        <f>SUMIF(Master_Data[Subject],'📊 Progress'!C33,Master_Data[Subjectwise weighted average])</f>
        <v>2.5897435897435894</v>
      </c>
      <c r="L33" s="156">
        <f>SUMIFS(Master_Data[No. of Chapters],Master_Data[Subject],'📊 Progress'!C33)</f>
        <v>11</v>
      </c>
      <c r="M33" s="28">
        <f>ROUND(AVERAGE(G33:H33),0)</f>
        <v>0</v>
      </c>
      <c r="N33" s="28">
        <f t="shared" ref="N33:N36" si="0">L33-M33</f>
        <v>11</v>
      </c>
      <c r="O33" s="28">
        <f>F33</f>
        <v>0</v>
      </c>
      <c r="P33" s="28">
        <f>L33-F33</f>
        <v>11</v>
      </c>
      <c r="Q33" s="28">
        <f>L33-I33</f>
        <v>11</v>
      </c>
      <c r="R33" s="28">
        <f>ROUND(AVERAGE(J33:J33),0)</f>
        <v>0</v>
      </c>
      <c r="S33" s="28">
        <f t="shared" ref="S33:S36" si="1">L33-R33</f>
        <v>11</v>
      </c>
      <c r="T33" s="27"/>
      <c r="U33" s="27"/>
      <c r="V33" s="27" t="str">
        <f>C33</f>
        <v>Foundation of Risk Mgmt</v>
      </c>
      <c r="W33" s="71">
        <f>(F33/L33)</f>
        <v>0</v>
      </c>
      <c r="X33" s="71">
        <v>1</v>
      </c>
      <c r="Y33" s="71" t="str">
        <f t="shared" ref="Y33:Y36" si="2">IF((M33/L33)=0,"",M33/L33)</f>
        <v/>
      </c>
      <c r="Z33" s="71">
        <v>1</v>
      </c>
      <c r="AA33" s="71">
        <f>I33/L33</f>
        <v>0</v>
      </c>
      <c r="AB33" s="71">
        <v>1</v>
      </c>
      <c r="AC33" s="71" t="str">
        <f t="shared" ref="AC33:AC36" si="3">IF((R33/L33)=0,"",R33/L33)</f>
        <v/>
      </c>
      <c r="AD33" s="71">
        <v>1</v>
      </c>
      <c r="AE33" s="71">
        <f t="shared" ref="AE33:AE36" si="4">K33/5</f>
        <v>0.51794871794871788</v>
      </c>
      <c r="AF33" s="71">
        <v>1</v>
      </c>
      <c r="AG33" s="27"/>
    </row>
    <row r="34" spans="2:36" x14ac:dyDescent="0.35">
      <c r="B34" s="129">
        <v>2.5</v>
      </c>
      <c r="C34" s="151" t="s">
        <v>162</v>
      </c>
      <c r="D34" s="152">
        <f>SUMIFS(Master_Data[Duration (hh:mm)],Master_Data[Subject],'📊 Progress'!C34,Master_Data[Lectures],"d")</f>
        <v>0</v>
      </c>
      <c r="E34" s="153">
        <f>SUMIF(Master_Data[Subject],'📊 Progress'!C34,Master_Data[Duration (hh:mm)])</f>
        <v>2.2694444444444453</v>
      </c>
      <c r="F34" s="154">
        <f>SUMIFS(Master_Data[No. of Chapters],Master_Data[Subject],C34,Master_Data[Self Study],"D",Master_Data[Lectures],"D")</f>
        <v>0</v>
      </c>
      <c r="G34" s="154">
        <f>SUMIFS(Master_Data[No. of Chapters],Master_Data[Subject],'📊 Progress'!$C34,Master_Data[Prac. Book],"D")</f>
        <v>0</v>
      </c>
      <c r="H34" s="154">
        <f>SUMIFS(Master_Data[No. of Chapters],Master_Data[Subject],'📊 Progress'!$C34,Master_Data[GARP EOC Ques.],"D")</f>
        <v>0</v>
      </c>
      <c r="I34" s="154">
        <f>SUMIFS(Master_Data[No. of Chapters],Master_Data[Subject],'📊 Progress'!$C34,Master_Data[Revision],"D")</f>
        <v>0</v>
      </c>
      <c r="J34" s="154">
        <f>SUMIFS(Master_Data[No. of Chapters],Master_Data[Subject],'📊 Progress'!$C34,Master_Data[GARP 10 Yr Papers],"D")</f>
        <v>0</v>
      </c>
      <c r="K34" s="155">
        <f>SUMIF(Master_Data[Subject],'📊 Progress'!C34,Master_Data[Subjectwise weighted average])</f>
        <v>2.3589743589743586</v>
      </c>
      <c r="L34" s="156">
        <f>SUMIFS(Master_Data[No. of Chapters],Master_Data[Subject],'📊 Progress'!C34)</f>
        <v>15</v>
      </c>
      <c r="M34" s="28">
        <f>ROUND(AVERAGE(G34:H34),0)</f>
        <v>0</v>
      </c>
      <c r="N34" s="28">
        <f t="shared" si="0"/>
        <v>15</v>
      </c>
      <c r="O34" s="28">
        <f>F34</f>
        <v>0</v>
      </c>
      <c r="P34" s="28">
        <f>L34-F34</f>
        <v>15</v>
      </c>
      <c r="Q34" s="28">
        <f>L34-I34</f>
        <v>15</v>
      </c>
      <c r="R34" s="28">
        <f>ROUND(AVERAGE(J34:J34),0)</f>
        <v>0</v>
      </c>
      <c r="S34" s="28">
        <f t="shared" si="1"/>
        <v>15</v>
      </c>
      <c r="T34" s="27"/>
      <c r="U34" s="27"/>
      <c r="V34" s="27" t="str">
        <f>C34</f>
        <v>Quantitative Analysis</v>
      </c>
      <c r="W34" s="71">
        <f>(F34/L34)</f>
        <v>0</v>
      </c>
      <c r="X34" s="71">
        <v>1</v>
      </c>
      <c r="Y34" s="71" t="str">
        <f t="shared" si="2"/>
        <v/>
      </c>
      <c r="Z34" s="71">
        <v>1</v>
      </c>
      <c r="AA34" s="71">
        <f>I34/L34</f>
        <v>0</v>
      </c>
      <c r="AB34" s="71">
        <v>1</v>
      </c>
      <c r="AC34" s="71" t="str">
        <f t="shared" si="3"/>
        <v/>
      </c>
      <c r="AD34" s="71">
        <v>1</v>
      </c>
      <c r="AE34" s="71">
        <f t="shared" si="4"/>
        <v>0.47179487179487173</v>
      </c>
      <c r="AF34" s="71">
        <v>1</v>
      </c>
      <c r="AG34" s="27"/>
    </row>
    <row r="35" spans="2:36" x14ac:dyDescent="0.35">
      <c r="B35" s="129">
        <v>2.5</v>
      </c>
      <c r="C35" s="151" t="s">
        <v>169</v>
      </c>
      <c r="D35" s="152">
        <f>SUMIFS(Master_Data[Duration (hh:mm)],Master_Data[Subject],'📊 Progress'!C35,Master_Data[Lectures],"d")</f>
        <v>0</v>
      </c>
      <c r="E35" s="153">
        <f>SUMIF(Master_Data[Subject],'📊 Progress'!C35,Master_Data[Duration (hh:mm)])</f>
        <v>2.9652777777777781</v>
      </c>
      <c r="F35" s="154">
        <f>SUMIFS(Master_Data[No. of Chapters],Master_Data[Subject],C35,Master_Data[Self Study],"D",Master_Data[Lectures],"D")</f>
        <v>0</v>
      </c>
      <c r="G35" s="154">
        <f>SUMIFS(Master_Data[No. of Chapters],Master_Data[Subject],'📊 Progress'!$C35,Master_Data[Prac. Book],"D")</f>
        <v>0</v>
      </c>
      <c r="H35" s="154">
        <f>SUMIFS(Master_Data[No. of Chapters],Master_Data[Subject],'📊 Progress'!$C35,Master_Data[GARP EOC Ques.],"D")</f>
        <v>0</v>
      </c>
      <c r="I35" s="154">
        <f>SUMIFS(Master_Data[No. of Chapters],Master_Data[Subject],'📊 Progress'!$C35,Master_Data[Revision],"D")</f>
        <v>0</v>
      </c>
      <c r="J35" s="154">
        <f>SUMIFS(Master_Data[No. of Chapters],Master_Data[Subject],'📊 Progress'!$C35,Master_Data[GARP 10 Yr Papers],"D")</f>
        <v>0</v>
      </c>
      <c r="K35" s="155">
        <f>SUMIF(Master_Data[Subject],'📊 Progress'!C35,Master_Data[Subjectwise weighted average])</f>
        <v>2.5750000000000002</v>
      </c>
      <c r="L35" s="156">
        <f>SUMIFS(Master_Data[No. of Chapters],Master_Data[Subject],'📊 Progress'!C35)</f>
        <v>20</v>
      </c>
      <c r="M35" s="28">
        <f>ROUND(AVERAGE(G35:H35),0)</f>
        <v>0</v>
      </c>
      <c r="N35" s="28">
        <f t="shared" si="0"/>
        <v>20</v>
      </c>
      <c r="O35" s="28">
        <f>F35</f>
        <v>0</v>
      </c>
      <c r="P35" s="28">
        <f>L35-F35</f>
        <v>20</v>
      </c>
      <c r="Q35" s="28">
        <f>L35-I35</f>
        <v>20</v>
      </c>
      <c r="R35" s="28">
        <f>ROUND(AVERAGE(J35:J35),0)</f>
        <v>0</v>
      </c>
      <c r="S35" s="28">
        <f t="shared" si="1"/>
        <v>20</v>
      </c>
      <c r="T35" s="27"/>
      <c r="U35" s="27"/>
      <c r="V35" s="27" t="str">
        <f>C35</f>
        <v>Financial Mkts &amp; Products</v>
      </c>
      <c r="W35" s="71">
        <f>(F35/L35)</f>
        <v>0</v>
      </c>
      <c r="X35" s="71">
        <v>1</v>
      </c>
      <c r="Y35" s="71" t="str">
        <f t="shared" si="2"/>
        <v/>
      </c>
      <c r="Z35" s="71">
        <v>1</v>
      </c>
      <c r="AA35" s="71">
        <f>I35/L35</f>
        <v>0</v>
      </c>
      <c r="AB35" s="71">
        <v>1</v>
      </c>
      <c r="AC35" s="71" t="str">
        <f t="shared" si="3"/>
        <v/>
      </c>
      <c r="AD35" s="71">
        <v>1</v>
      </c>
      <c r="AE35" s="71">
        <f t="shared" si="4"/>
        <v>0.51500000000000001</v>
      </c>
      <c r="AF35" s="71">
        <v>1</v>
      </c>
      <c r="AG35" s="27"/>
    </row>
    <row r="36" spans="2:36" x14ac:dyDescent="0.35">
      <c r="B36" s="129">
        <v>2.5</v>
      </c>
      <c r="C36" s="151" t="s">
        <v>185</v>
      </c>
      <c r="D36" s="152">
        <f>SUMIFS(Master_Data[Duration (hh:mm)],Master_Data[Subject],'📊 Progress'!C36,Master_Data[Lectures],"d")</f>
        <v>0</v>
      </c>
      <c r="E36" s="153">
        <f>SUMIF(Master_Data[Subject],'📊 Progress'!C36,Master_Data[Duration (hh:mm)])</f>
        <v>2.3486111111111105</v>
      </c>
      <c r="F36" s="154">
        <f>SUMIFS(Master_Data[No. of Chapters],Master_Data[Subject],C36,Master_Data[Self Study],"D",Master_Data[Lectures],"D")</f>
        <v>0</v>
      </c>
      <c r="G36" s="154">
        <f>SUMIFS(Master_Data[No. of Chapters],Master_Data[Subject],'📊 Progress'!$C36,Master_Data[Prac. Book],"D")</f>
        <v>0</v>
      </c>
      <c r="H36" s="154">
        <f>SUMIFS(Master_Data[No. of Chapters],Master_Data[Subject],'📊 Progress'!$C36,Master_Data[GARP EOC Ques.],"D")</f>
        <v>0</v>
      </c>
      <c r="I36" s="154">
        <f>SUMIFS(Master_Data[No. of Chapters],Master_Data[Subject],'📊 Progress'!$C36,Master_Data[Revision],"D")</f>
        <v>0</v>
      </c>
      <c r="J36" s="154">
        <f>SUMIFS(Master_Data[No. of Chapters],Master_Data[Subject],'📊 Progress'!$C36,Master_Data[GARP 10 Yr Papers],"D")</f>
        <v>0</v>
      </c>
      <c r="K36" s="155">
        <f>SUMIF(Master_Data[Subject],'📊 Progress'!C36,Master_Data[Subjectwise weighted average])</f>
        <v>2.375</v>
      </c>
      <c r="L36" s="156">
        <f>SUMIFS(Master_Data[No. of Chapters],Master_Data[Subject],'📊 Progress'!C36)</f>
        <v>17</v>
      </c>
      <c r="M36" s="28">
        <f>ROUND(AVERAGE(G36:H36),0)</f>
        <v>0</v>
      </c>
      <c r="N36" s="28">
        <f t="shared" si="0"/>
        <v>17</v>
      </c>
      <c r="O36" s="28">
        <f>F36</f>
        <v>0</v>
      </c>
      <c r="P36" s="28">
        <f>L36-F36</f>
        <v>17</v>
      </c>
      <c r="Q36" s="28">
        <f>L36-I36</f>
        <v>17</v>
      </c>
      <c r="R36" s="28">
        <f>ROUND(AVERAGE(J36:J36),0)</f>
        <v>0</v>
      </c>
      <c r="S36" s="28">
        <f t="shared" si="1"/>
        <v>17</v>
      </c>
      <c r="T36" s="27"/>
      <c r="U36" s="27"/>
      <c r="V36" s="27" t="str">
        <f>C36</f>
        <v>Valuation &amp; Risk Models</v>
      </c>
      <c r="W36" s="71">
        <f>(F36/L36)</f>
        <v>0</v>
      </c>
      <c r="X36" s="71">
        <v>1</v>
      </c>
      <c r="Y36" s="71" t="str">
        <f t="shared" si="2"/>
        <v/>
      </c>
      <c r="Z36" s="71">
        <v>1</v>
      </c>
      <c r="AA36" s="71">
        <f>I36/L36</f>
        <v>0</v>
      </c>
      <c r="AB36" s="71">
        <v>1</v>
      </c>
      <c r="AC36" s="71" t="str">
        <f t="shared" si="3"/>
        <v/>
      </c>
      <c r="AD36" s="71">
        <v>1</v>
      </c>
      <c r="AE36" s="71">
        <f t="shared" si="4"/>
        <v>0.47499999999999998</v>
      </c>
      <c r="AF36" s="71">
        <v>1</v>
      </c>
      <c r="AG36" s="27"/>
    </row>
    <row r="37" spans="2:36" s="23" customFormat="1" ht="18" x14ac:dyDescent="0.4">
      <c r="C37" s="157" t="s">
        <v>7</v>
      </c>
      <c r="D37" s="158">
        <f t="shared" ref="D37:J37" si="5">SUM(D33:D36)</f>
        <v>0</v>
      </c>
      <c r="E37" s="158">
        <f t="shared" si="5"/>
        <v>8.9986111111111118</v>
      </c>
      <c r="F37" s="159">
        <f t="shared" si="5"/>
        <v>0</v>
      </c>
      <c r="G37" s="159">
        <f t="shared" si="5"/>
        <v>0</v>
      </c>
      <c r="H37" s="159">
        <f t="shared" si="5"/>
        <v>0</v>
      </c>
      <c r="I37" s="159">
        <f t="shared" si="5"/>
        <v>0</v>
      </c>
      <c r="J37" s="159">
        <f t="shared" si="5"/>
        <v>0</v>
      </c>
      <c r="K37" s="160">
        <f>'⏱ Input'!AB4</f>
        <v>5</v>
      </c>
      <c r="L37" s="159">
        <f>SUM(L33:L36)</f>
        <v>63</v>
      </c>
      <c r="M37" s="70"/>
      <c r="N37" s="25"/>
      <c r="O37" s="25"/>
      <c r="P37" s="167">
        <f>SUM(P33:P36)</f>
        <v>63</v>
      </c>
      <c r="Q37" s="29"/>
      <c r="R37" s="29"/>
      <c r="S37" s="25"/>
      <c r="T37" s="25"/>
      <c r="U37" s="26"/>
      <c r="V37" s="26"/>
      <c r="W37" s="26"/>
      <c r="X37" s="26"/>
      <c r="Y37" s="26"/>
      <c r="Z37" s="26"/>
      <c r="AA37" s="26"/>
      <c r="AB37" s="26"/>
      <c r="AC37" s="26"/>
      <c r="AD37" s="26"/>
      <c r="AE37" s="25"/>
      <c r="AF37" s="25"/>
    </row>
    <row r="38" spans="2:36" ht="15" customHeight="1" x14ac:dyDescent="0.35">
      <c r="C38" s="22"/>
      <c r="D38" s="22"/>
      <c r="E38" s="22"/>
      <c r="F38" s="22"/>
      <c r="G38" s="31"/>
      <c r="H38" s="22"/>
      <c r="I38" s="31"/>
      <c r="J38" s="31"/>
      <c r="K38" s="31"/>
      <c r="L38" s="31"/>
      <c r="M38" s="30"/>
      <c r="N38" s="30"/>
      <c r="O38" s="30"/>
      <c r="P38" s="30"/>
      <c r="Q38" s="27"/>
      <c r="R38" s="27"/>
      <c r="S38" s="27"/>
      <c r="T38" s="27"/>
      <c r="U38" s="24"/>
      <c r="V38" s="24"/>
      <c r="W38" s="24"/>
      <c r="X38" s="24"/>
      <c r="Y38" s="24"/>
      <c r="Z38" s="24"/>
      <c r="AA38" s="24"/>
      <c r="AB38" s="24"/>
      <c r="AC38" s="24"/>
      <c r="AD38" s="24"/>
      <c r="AE38" s="22"/>
      <c r="AF38" s="22"/>
      <c r="AG38" s="22"/>
      <c r="AH38" s="22"/>
      <c r="AI38" s="22"/>
      <c r="AJ38" s="22"/>
    </row>
    <row r="39" spans="2:36" x14ac:dyDescent="0.35">
      <c r="B39" s="22"/>
      <c r="C39" s="22"/>
      <c r="D39" s="22"/>
      <c r="E39" s="22"/>
      <c r="F39" s="22"/>
      <c r="G39" s="22"/>
      <c r="H39" s="31"/>
      <c r="U39" s="21"/>
      <c r="V39" s="21"/>
      <c r="W39" s="21"/>
      <c r="X39" s="21"/>
      <c r="Y39" s="21"/>
      <c r="Z39" s="21"/>
      <c r="AA39" s="21"/>
      <c r="AB39" s="21"/>
      <c r="AC39" s="21"/>
      <c r="AD39" s="22"/>
      <c r="AE39" s="22"/>
      <c r="AF39" s="22"/>
      <c r="AG39" s="22"/>
      <c r="AH39" s="22"/>
      <c r="AI39" s="22"/>
      <c r="AJ39" s="22"/>
    </row>
    <row r="40" spans="2:36" x14ac:dyDescent="0.35">
      <c r="B40" s="22"/>
      <c r="C40" s="22"/>
      <c r="D40" s="22"/>
      <c r="E40" s="22"/>
      <c r="F40" s="22"/>
      <c r="G40" s="22"/>
      <c r="H40" s="22"/>
      <c r="U40" s="21"/>
      <c r="V40" s="21"/>
      <c r="W40" s="21"/>
      <c r="X40" s="21"/>
      <c r="Y40" s="21"/>
      <c r="Z40" s="21"/>
      <c r="AA40" s="21"/>
      <c r="AB40" s="21"/>
      <c r="AC40" s="21"/>
      <c r="AD40" s="22"/>
      <c r="AE40" s="22"/>
      <c r="AF40" s="22"/>
      <c r="AG40" s="22"/>
      <c r="AH40" s="22"/>
      <c r="AI40" s="22"/>
      <c r="AJ40" s="22"/>
    </row>
    <row r="41" spans="2:36" x14ac:dyDescent="0.35">
      <c r="B41" s="22"/>
      <c r="C41" s="22"/>
      <c r="D41" s="22"/>
      <c r="E41" s="22"/>
      <c r="F41" s="22"/>
      <c r="H41" s="22"/>
      <c r="U41" s="21"/>
      <c r="V41" s="21"/>
      <c r="W41" s="21"/>
      <c r="X41" s="21"/>
      <c r="Y41" s="21"/>
      <c r="Z41" s="21"/>
      <c r="AA41" s="21"/>
      <c r="AB41" s="21"/>
      <c r="AC41" s="21"/>
      <c r="AD41" s="22"/>
      <c r="AE41" s="22"/>
      <c r="AF41" s="22"/>
      <c r="AG41" s="22"/>
      <c r="AH41" s="22"/>
      <c r="AI41" s="22"/>
      <c r="AJ41" s="22"/>
    </row>
    <row r="42" spans="2:36" x14ac:dyDescent="0.35">
      <c r="C42" s="22"/>
      <c r="D42" s="22"/>
      <c r="E42" s="22"/>
      <c r="F42" s="22"/>
      <c r="G42" s="22"/>
      <c r="I42" s="20"/>
      <c r="J42" s="20"/>
      <c r="K42" s="20"/>
      <c r="L42" s="22"/>
      <c r="U42" s="21"/>
      <c r="V42" s="21"/>
      <c r="W42" s="21"/>
      <c r="X42" s="21"/>
      <c r="Y42" s="21"/>
      <c r="Z42" s="21"/>
      <c r="AA42" s="21"/>
      <c r="AB42" s="21"/>
      <c r="AC42" s="21"/>
      <c r="AD42" s="22"/>
      <c r="AE42" s="22"/>
      <c r="AF42" s="22"/>
      <c r="AG42" s="22"/>
      <c r="AH42" s="22"/>
      <c r="AI42" s="22"/>
      <c r="AJ42" s="22"/>
    </row>
    <row r="43" spans="2:36" x14ac:dyDescent="0.35">
      <c r="C43" s="22"/>
      <c r="D43" s="22"/>
      <c r="E43" s="22"/>
      <c r="F43" s="22"/>
      <c r="G43" s="22"/>
      <c r="H43" s="22"/>
      <c r="L43" s="22"/>
      <c r="U43" s="21"/>
      <c r="V43" s="21"/>
      <c r="W43" s="21"/>
      <c r="X43" s="21"/>
      <c r="Y43" s="21"/>
      <c r="Z43" s="21"/>
      <c r="AA43" s="21"/>
      <c r="AB43" s="21"/>
      <c r="AC43" s="21"/>
      <c r="AD43" s="22"/>
      <c r="AE43" s="22"/>
      <c r="AF43" s="22"/>
      <c r="AG43" s="22"/>
      <c r="AH43" s="22"/>
      <c r="AI43" s="22"/>
      <c r="AJ43" s="22"/>
    </row>
    <row r="44" spans="2:36" x14ac:dyDescent="0.35">
      <c r="C44" s="22"/>
      <c r="D44" s="22"/>
      <c r="E44" s="22"/>
      <c r="F44" s="22"/>
      <c r="G44" s="22"/>
      <c r="H44" s="22"/>
      <c r="L44" s="22"/>
      <c r="U44" s="21"/>
      <c r="V44" s="21"/>
      <c r="W44" s="21"/>
      <c r="X44" s="21"/>
      <c r="Y44" s="21"/>
      <c r="Z44" s="21"/>
      <c r="AA44" s="21"/>
      <c r="AB44" s="21"/>
      <c r="AC44" s="21"/>
      <c r="AD44" s="22"/>
      <c r="AE44" s="22"/>
      <c r="AF44" s="22"/>
      <c r="AG44" s="22"/>
      <c r="AH44" s="22"/>
      <c r="AI44" s="22"/>
      <c r="AJ44" s="22"/>
    </row>
    <row r="45" spans="2:36" x14ac:dyDescent="0.35">
      <c r="C45" s="22"/>
      <c r="D45" s="22"/>
      <c r="E45" s="22"/>
      <c r="F45" s="22"/>
      <c r="G45" s="22"/>
      <c r="H45" s="22"/>
      <c r="L45" s="22"/>
      <c r="U45" s="21"/>
      <c r="V45" s="21"/>
      <c r="W45" s="21"/>
      <c r="X45" s="21"/>
      <c r="Y45" s="21"/>
      <c r="Z45" s="21"/>
      <c r="AA45" s="21"/>
      <c r="AB45" s="21"/>
      <c r="AC45" s="21"/>
      <c r="AD45" s="22"/>
      <c r="AE45" s="22"/>
      <c r="AF45" s="22"/>
      <c r="AG45" s="22"/>
      <c r="AH45" s="22"/>
      <c r="AI45" s="22"/>
      <c r="AJ45" s="22"/>
    </row>
    <row r="46" spans="2:36" x14ac:dyDescent="0.35">
      <c r="C46" s="22"/>
      <c r="D46" s="22"/>
      <c r="E46" s="22"/>
      <c r="F46" s="22"/>
      <c r="G46" s="22"/>
      <c r="H46" s="22"/>
      <c r="L46" s="22"/>
      <c r="U46" s="21"/>
      <c r="V46" s="21"/>
      <c r="W46" s="21"/>
      <c r="X46" s="21"/>
      <c r="Y46" s="21"/>
      <c r="Z46" s="21"/>
      <c r="AA46" s="21"/>
      <c r="AB46" s="21"/>
      <c r="AC46" s="21"/>
      <c r="AD46" s="22"/>
      <c r="AE46" s="22"/>
      <c r="AF46" s="22"/>
      <c r="AG46" s="22"/>
      <c r="AH46" s="22"/>
      <c r="AI46" s="22"/>
      <c r="AJ46" s="22"/>
    </row>
    <row r="47" spans="2:36" x14ac:dyDescent="0.35">
      <c r="C47" s="22"/>
      <c r="D47" s="22"/>
      <c r="E47" s="22"/>
      <c r="F47" s="22"/>
      <c r="G47" s="22"/>
      <c r="H47" s="22"/>
      <c r="L47" s="22"/>
      <c r="U47" s="21"/>
      <c r="V47" s="21"/>
      <c r="W47" s="21"/>
      <c r="X47" s="21"/>
      <c r="Y47" s="21"/>
      <c r="Z47" s="21"/>
      <c r="AA47" s="21"/>
      <c r="AB47" s="21"/>
      <c r="AC47" s="21"/>
      <c r="AD47" s="22"/>
      <c r="AE47" s="22"/>
      <c r="AF47" s="22"/>
      <c r="AG47" s="22"/>
      <c r="AH47" s="22"/>
      <c r="AI47" s="22"/>
      <c r="AJ47" s="22"/>
    </row>
    <row r="48" spans="2:36" x14ac:dyDescent="0.35">
      <c r="C48" s="22"/>
      <c r="D48" s="22"/>
      <c r="E48" s="22"/>
      <c r="F48" s="22"/>
      <c r="G48" s="22"/>
      <c r="H48" s="22"/>
      <c r="L48" s="22"/>
      <c r="U48" s="21"/>
      <c r="V48" s="21"/>
      <c r="W48" s="21"/>
      <c r="X48" s="21"/>
      <c r="Y48" s="21"/>
      <c r="Z48" s="21"/>
      <c r="AA48" s="21"/>
      <c r="AB48" s="21"/>
      <c r="AC48" s="21"/>
      <c r="AD48" s="22"/>
      <c r="AE48" s="22"/>
      <c r="AF48" s="22"/>
      <c r="AG48" s="22"/>
      <c r="AH48" s="22"/>
      <c r="AI48" s="22"/>
      <c r="AJ48" s="22"/>
    </row>
    <row r="49" spans="2:36" x14ac:dyDescent="0.35">
      <c r="C49" s="22"/>
      <c r="D49" s="22"/>
      <c r="E49" s="22"/>
      <c r="F49" s="22"/>
      <c r="G49" s="22"/>
      <c r="H49" s="22"/>
      <c r="L49" s="22"/>
      <c r="U49" s="21"/>
      <c r="V49" s="21"/>
      <c r="W49" s="21"/>
      <c r="X49" s="21"/>
      <c r="Y49" s="21"/>
      <c r="Z49" s="21"/>
      <c r="AA49" s="21"/>
      <c r="AB49" s="21"/>
      <c r="AC49" s="21"/>
      <c r="AD49" s="22"/>
      <c r="AE49" s="22"/>
      <c r="AF49" s="22"/>
      <c r="AG49" s="22"/>
      <c r="AH49" s="22"/>
      <c r="AI49" s="22"/>
      <c r="AJ49" s="22"/>
    </row>
    <row r="50" spans="2:36" x14ac:dyDescent="0.35">
      <c r="C50" s="22"/>
      <c r="D50" s="22"/>
      <c r="E50" s="22"/>
      <c r="F50" s="22"/>
      <c r="G50" s="22"/>
      <c r="H50" s="22"/>
      <c r="L50" s="22"/>
      <c r="U50" s="21"/>
      <c r="V50" s="21"/>
      <c r="W50" s="21"/>
      <c r="X50" s="21"/>
      <c r="Y50" s="21"/>
      <c r="Z50" s="21"/>
      <c r="AA50" s="21"/>
      <c r="AB50" s="21"/>
      <c r="AC50" s="21"/>
      <c r="AD50" s="22"/>
      <c r="AE50" s="22"/>
      <c r="AF50" s="22"/>
      <c r="AG50" s="22"/>
      <c r="AH50" s="22"/>
      <c r="AI50" s="22"/>
      <c r="AJ50" s="22"/>
    </row>
    <row r="51" spans="2:36" x14ac:dyDescent="0.35">
      <c r="C51" s="22"/>
      <c r="D51" s="22"/>
      <c r="E51" s="22"/>
      <c r="F51" s="22"/>
      <c r="G51" s="22"/>
      <c r="H51" s="22"/>
      <c r="L51" s="22"/>
      <c r="U51" s="21"/>
      <c r="V51" s="21"/>
      <c r="W51" s="21"/>
      <c r="X51" s="21"/>
      <c r="Y51" s="21"/>
      <c r="Z51" s="21"/>
      <c r="AA51" s="21"/>
      <c r="AB51" s="21"/>
      <c r="AC51" s="21"/>
      <c r="AD51" s="22"/>
      <c r="AE51" s="22"/>
      <c r="AF51" s="22"/>
    </row>
    <row r="52" spans="2:36" x14ac:dyDescent="0.35">
      <c r="C52" s="22"/>
      <c r="D52" s="22"/>
      <c r="E52" s="22"/>
      <c r="F52" s="22"/>
      <c r="G52" s="22"/>
      <c r="H52" s="22"/>
      <c r="L52" s="22"/>
      <c r="U52" s="21"/>
      <c r="V52" s="21"/>
      <c r="W52" s="21"/>
      <c r="X52" s="21"/>
      <c r="Y52" s="21"/>
      <c r="Z52" s="21"/>
      <c r="AA52" s="21"/>
      <c r="AB52" s="21"/>
      <c r="AC52" s="21"/>
      <c r="AD52" s="22"/>
      <c r="AE52" s="22"/>
      <c r="AF52" s="22"/>
    </row>
    <row r="53" spans="2:36" x14ac:dyDescent="0.35">
      <c r="C53" s="22"/>
      <c r="D53" s="22"/>
      <c r="E53" s="22"/>
      <c r="F53" s="22"/>
      <c r="G53" s="22"/>
      <c r="H53" s="22"/>
      <c r="L53" s="22"/>
      <c r="U53" s="21"/>
      <c r="V53" s="21"/>
      <c r="W53" s="21"/>
      <c r="X53" s="21"/>
      <c r="Y53" s="21"/>
      <c r="Z53" s="21"/>
      <c r="AA53" s="21"/>
      <c r="AB53" s="21"/>
      <c r="AC53" s="21"/>
      <c r="AD53" s="22"/>
      <c r="AE53" s="22"/>
      <c r="AF53" s="22"/>
    </row>
    <row r="54" spans="2:36" x14ac:dyDescent="0.35">
      <c r="B54" s="22"/>
      <c r="C54" s="22"/>
      <c r="D54" s="22"/>
      <c r="E54" s="22"/>
      <c r="F54" s="22"/>
      <c r="G54" s="22"/>
      <c r="I54" s="20"/>
      <c r="J54" s="20"/>
      <c r="K54" s="20"/>
      <c r="U54" s="21"/>
      <c r="V54" s="21"/>
      <c r="W54" s="21"/>
      <c r="X54" s="21"/>
      <c r="Y54" s="21"/>
      <c r="Z54" s="21"/>
      <c r="AA54" s="21"/>
      <c r="AB54" s="21"/>
      <c r="AC54" s="21"/>
      <c r="AD54" s="22"/>
      <c r="AE54" s="22"/>
      <c r="AF54" s="22"/>
    </row>
    <row r="55" spans="2:36" x14ac:dyDescent="0.35">
      <c r="B55" s="22"/>
      <c r="C55" s="22"/>
      <c r="D55" s="22"/>
      <c r="E55" s="22"/>
      <c r="F55" s="22"/>
      <c r="G55" s="22"/>
      <c r="I55" s="20"/>
      <c r="J55" s="20"/>
      <c r="K55" s="20"/>
      <c r="U55" s="21"/>
      <c r="V55" s="21"/>
      <c r="W55" s="21"/>
      <c r="X55" s="21"/>
      <c r="Y55" s="21"/>
      <c r="Z55" s="21"/>
      <c r="AA55" s="21"/>
      <c r="AB55" s="21"/>
      <c r="AC55" s="21"/>
      <c r="AD55" s="22"/>
      <c r="AE55" s="22"/>
      <c r="AF55" s="22"/>
    </row>
    <row r="56" spans="2:36" x14ac:dyDescent="0.35">
      <c r="C56" s="22"/>
      <c r="D56" s="22"/>
      <c r="E56" s="22"/>
      <c r="F56" s="22"/>
      <c r="G56" s="22"/>
      <c r="H56" s="22"/>
      <c r="I56" s="20"/>
      <c r="J56" s="20"/>
      <c r="K56" s="20"/>
      <c r="U56" s="21"/>
      <c r="V56" s="21"/>
      <c r="W56" s="21"/>
      <c r="X56" s="21"/>
      <c r="Y56" s="21"/>
      <c r="Z56" s="21"/>
      <c r="AA56" s="21"/>
      <c r="AB56" s="21"/>
      <c r="AC56" s="21"/>
      <c r="AD56" s="22"/>
      <c r="AE56" s="22"/>
      <c r="AF56" s="22"/>
    </row>
    <row r="57" spans="2:36" x14ac:dyDescent="0.35">
      <c r="C57" s="22"/>
      <c r="D57" s="22"/>
      <c r="E57" s="22"/>
      <c r="F57" s="22"/>
      <c r="G57" s="22"/>
      <c r="H57" s="22"/>
      <c r="L57" s="22"/>
      <c r="U57" s="21"/>
      <c r="V57" s="21"/>
      <c r="W57" s="21"/>
      <c r="X57" s="21"/>
      <c r="Y57" s="21"/>
      <c r="Z57" s="21"/>
      <c r="AA57" s="21"/>
      <c r="AB57" s="21"/>
      <c r="AC57" s="21"/>
      <c r="AD57" s="22"/>
      <c r="AE57" s="22"/>
      <c r="AF57" s="22"/>
    </row>
    <row r="58" spans="2:36" x14ac:dyDescent="0.35">
      <c r="C58" s="22"/>
      <c r="D58" s="22"/>
      <c r="E58" s="22"/>
      <c r="F58" s="22"/>
      <c r="G58" s="22"/>
      <c r="H58" s="22"/>
      <c r="L58" s="22"/>
      <c r="AA58" s="22"/>
      <c r="AB58" s="22"/>
      <c r="AC58" s="22"/>
      <c r="AD58" s="22"/>
      <c r="AE58" s="22"/>
      <c r="AF58" s="22"/>
    </row>
    <row r="59" spans="2:36" x14ac:dyDescent="0.35">
      <c r="C59" s="22"/>
      <c r="D59" s="22"/>
      <c r="E59" s="22"/>
      <c r="F59" s="22"/>
      <c r="G59" s="22"/>
      <c r="H59" s="22"/>
      <c r="L59" s="22"/>
      <c r="AA59" s="22"/>
      <c r="AB59" s="22"/>
      <c r="AC59" s="22"/>
      <c r="AD59" s="22"/>
      <c r="AE59" s="22"/>
      <c r="AF59" s="22"/>
    </row>
    <row r="60" spans="2:36" x14ac:dyDescent="0.35">
      <c r="C60" s="22"/>
      <c r="D60" s="22"/>
      <c r="E60" s="22"/>
      <c r="F60" s="22"/>
      <c r="G60" s="22"/>
      <c r="H60" s="22"/>
      <c r="L60" s="22"/>
      <c r="AA60" s="22"/>
      <c r="AB60" s="22"/>
      <c r="AC60" s="22"/>
      <c r="AD60" s="22"/>
      <c r="AE60" s="22"/>
      <c r="AF60" s="22"/>
    </row>
    <row r="61" spans="2:36" x14ac:dyDescent="0.35">
      <c r="C61" s="22"/>
      <c r="D61" s="22"/>
      <c r="E61" s="22"/>
      <c r="F61" s="22"/>
      <c r="G61" s="22"/>
      <c r="H61" s="22"/>
      <c r="L61" s="22"/>
      <c r="AA61" s="22"/>
      <c r="AB61" s="22"/>
      <c r="AC61" s="22"/>
      <c r="AD61" s="22"/>
      <c r="AE61" s="22"/>
      <c r="AF61" s="22"/>
    </row>
    <row r="62" spans="2:36" x14ac:dyDescent="0.35">
      <c r="C62" s="22"/>
      <c r="D62" s="22"/>
      <c r="E62" s="22"/>
      <c r="F62" s="22"/>
      <c r="G62" s="22"/>
      <c r="H62" s="22"/>
      <c r="L62" s="22"/>
      <c r="AA62" s="22"/>
      <c r="AB62" s="22"/>
      <c r="AC62" s="22"/>
      <c r="AD62" s="22"/>
      <c r="AE62" s="22"/>
      <c r="AF62" s="22"/>
    </row>
    <row r="63" spans="2:36" x14ac:dyDescent="0.35">
      <c r="C63" s="22"/>
      <c r="D63" s="22"/>
      <c r="E63" s="22"/>
      <c r="F63" s="22"/>
      <c r="G63" s="22"/>
      <c r="H63" s="22"/>
      <c r="L63" s="22"/>
      <c r="AA63" s="22"/>
      <c r="AB63" s="22"/>
      <c r="AC63" s="22"/>
      <c r="AD63" s="22"/>
      <c r="AE63" s="22"/>
      <c r="AF63" s="22"/>
    </row>
    <row r="64" spans="2:36" x14ac:dyDescent="0.35">
      <c r="C64" s="22"/>
      <c r="D64" s="22"/>
      <c r="E64" s="22"/>
      <c r="F64" s="22"/>
      <c r="G64" s="22"/>
      <c r="H64" s="22"/>
      <c r="L64" s="22"/>
      <c r="AA64" s="22"/>
      <c r="AB64" s="22"/>
      <c r="AC64" s="22"/>
      <c r="AD64" s="22"/>
      <c r="AE64" s="22"/>
      <c r="AF64" s="22"/>
    </row>
    <row r="65" spans="3:32" x14ac:dyDescent="0.35">
      <c r="C65" s="22"/>
      <c r="D65" s="22"/>
      <c r="E65" s="22"/>
      <c r="F65" s="22"/>
      <c r="G65" s="22"/>
      <c r="H65" s="22"/>
      <c r="L65" s="22"/>
      <c r="AA65" s="22"/>
      <c r="AB65" s="22"/>
      <c r="AC65" s="22"/>
      <c r="AD65" s="22"/>
      <c r="AE65" s="22"/>
      <c r="AF65" s="22"/>
    </row>
    <row r="66" spans="3:32" x14ac:dyDescent="0.35">
      <c r="C66" s="22"/>
      <c r="D66" s="22"/>
      <c r="E66" s="22"/>
      <c r="F66" s="22"/>
      <c r="G66" s="22"/>
      <c r="H66" s="22"/>
      <c r="L66" s="22"/>
      <c r="AA66" s="22"/>
      <c r="AB66" s="22"/>
      <c r="AC66" s="22"/>
      <c r="AD66" s="22"/>
      <c r="AE66" s="22"/>
      <c r="AF66" s="22"/>
    </row>
    <row r="67" spans="3:32" x14ac:dyDescent="0.35">
      <c r="C67" s="22"/>
      <c r="D67" s="22"/>
      <c r="E67" s="22"/>
      <c r="F67" s="22"/>
      <c r="G67" s="22"/>
      <c r="H67" s="22"/>
      <c r="L67" s="22"/>
      <c r="AA67" s="22"/>
      <c r="AB67" s="22"/>
      <c r="AC67" s="22"/>
      <c r="AD67" s="22"/>
      <c r="AE67" s="22"/>
      <c r="AF67" s="22"/>
    </row>
    <row r="68" spans="3:32" x14ac:dyDescent="0.35">
      <c r="C68" s="22"/>
      <c r="D68" s="22"/>
      <c r="E68" s="22"/>
      <c r="F68" s="22"/>
      <c r="G68" s="22"/>
      <c r="H68" s="22"/>
      <c r="L68" s="22"/>
      <c r="AA68" s="22"/>
      <c r="AB68" s="22"/>
      <c r="AC68" s="22"/>
      <c r="AD68" s="22"/>
      <c r="AE68" s="22"/>
      <c r="AF68" s="22"/>
    </row>
    <row r="69" spans="3:32" x14ac:dyDescent="0.35">
      <c r="C69" s="22"/>
      <c r="D69" s="22"/>
      <c r="E69" s="22"/>
      <c r="F69" s="22"/>
      <c r="G69" s="22"/>
      <c r="H69" s="22"/>
      <c r="L69" s="22"/>
      <c r="AA69" s="22"/>
      <c r="AB69" s="22"/>
      <c r="AC69" s="22"/>
      <c r="AD69" s="22"/>
      <c r="AE69" s="22"/>
      <c r="AF69" s="22"/>
    </row>
    <row r="70" spans="3:32" x14ac:dyDescent="0.35">
      <c r="C70" s="22"/>
      <c r="D70" s="22"/>
      <c r="E70" s="22"/>
      <c r="F70" s="22"/>
      <c r="H70" s="22"/>
      <c r="L70" s="22"/>
      <c r="AA70" s="22"/>
      <c r="AB70" s="22"/>
      <c r="AC70" s="22"/>
      <c r="AD70" s="22"/>
      <c r="AE70" s="22"/>
      <c r="AF70" s="22"/>
    </row>
    <row r="71" spans="3:32" x14ac:dyDescent="0.35">
      <c r="C71" s="22"/>
      <c r="D71" s="22"/>
      <c r="E71" s="22"/>
      <c r="F71" s="22"/>
      <c r="L71" s="22"/>
      <c r="AA71" s="22"/>
      <c r="AB71" s="22"/>
      <c r="AC71" s="22"/>
      <c r="AD71" s="22"/>
      <c r="AE71" s="22"/>
      <c r="AF71" s="22"/>
    </row>
    <row r="72" spans="3:32" x14ac:dyDescent="0.35">
      <c r="C72" s="22"/>
      <c r="D72" s="22"/>
      <c r="E72" s="22"/>
      <c r="F72" s="22"/>
      <c r="L72" s="22"/>
      <c r="AA72" s="22"/>
      <c r="AB72" s="22"/>
      <c r="AC72" s="22"/>
      <c r="AD72" s="22"/>
      <c r="AE72" s="22"/>
      <c r="AF72" s="22"/>
    </row>
    <row r="73" spans="3:32" x14ac:dyDescent="0.35">
      <c r="C73" s="22"/>
      <c r="D73" s="22"/>
      <c r="E73" s="22"/>
      <c r="F73" s="22"/>
      <c r="AA73" s="22"/>
      <c r="AB73" s="22"/>
      <c r="AC73" s="22"/>
      <c r="AD73" s="22"/>
      <c r="AE73" s="22"/>
      <c r="AF73" s="22"/>
    </row>
    <row r="74" spans="3:32" x14ac:dyDescent="0.35">
      <c r="C74" s="22"/>
      <c r="D74" s="22"/>
      <c r="E74" s="22"/>
      <c r="F74" s="22"/>
      <c r="AA74" s="22"/>
      <c r="AB74" s="22"/>
      <c r="AC74" s="22"/>
      <c r="AD74" s="22"/>
      <c r="AE74" s="22"/>
      <c r="AF74" s="22"/>
    </row>
    <row r="75" spans="3:32" x14ac:dyDescent="0.35">
      <c r="C75" s="22"/>
      <c r="D75" s="22"/>
      <c r="E75" s="22"/>
      <c r="F75" s="22"/>
      <c r="AA75" s="22"/>
      <c r="AB75" s="22"/>
      <c r="AC75" s="22"/>
      <c r="AD75" s="22"/>
      <c r="AE75" s="22"/>
      <c r="AF75" s="22"/>
    </row>
    <row r="76" spans="3:32" x14ac:dyDescent="0.35">
      <c r="C76" s="22"/>
      <c r="D76" s="22"/>
      <c r="E76" s="22"/>
      <c r="F76" s="22"/>
      <c r="AA76" s="22"/>
      <c r="AB76" s="22"/>
      <c r="AC76" s="22"/>
      <c r="AD76" s="22"/>
      <c r="AE76" s="22"/>
      <c r="AF76" s="22"/>
    </row>
    <row r="77" spans="3:32" x14ac:dyDescent="0.35">
      <c r="C77" s="22"/>
      <c r="D77" s="22"/>
      <c r="E77" s="22"/>
      <c r="F77" s="22"/>
    </row>
    <row r="78" spans="3:32" x14ac:dyDescent="0.35">
      <c r="C78" s="22"/>
      <c r="D78" s="22"/>
      <c r="E78" s="22"/>
      <c r="F78" s="22"/>
    </row>
    <row r="79" spans="3:32" x14ac:dyDescent="0.35">
      <c r="C79" s="22"/>
      <c r="D79" s="22"/>
      <c r="E79" s="22"/>
      <c r="F79" s="22"/>
    </row>
    <row r="80" spans="3:32" x14ac:dyDescent="0.35">
      <c r="C80" s="22"/>
      <c r="D80" s="22"/>
      <c r="E80" s="22"/>
      <c r="F80" s="22"/>
    </row>
    <row r="81" spans="3:6" x14ac:dyDescent="0.35">
      <c r="C81" s="22"/>
      <c r="D81" s="22"/>
      <c r="E81" s="22"/>
      <c r="F81" s="22"/>
    </row>
    <row r="82" spans="3:6" x14ac:dyDescent="0.35">
      <c r="C82" s="22"/>
      <c r="D82" s="22"/>
      <c r="E82" s="22"/>
      <c r="F82" s="22"/>
    </row>
    <row r="83" spans="3:6" x14ac:dyDescent="0.35">
      <c r="C83" s="22"/>
      <c r="D83" s="22"/>
      <c r="E83" s="22"/>
      <c r="F83" s="22"/>
    </row>
    <row r="84" spans="3:6" x14ac:dyDescent="0.35">
      <c r="C84" s="22"/>
      <c r="D84" s="22"/>
      <c r="E84" s="22"/>
      <c r="F84" s="22"/>
    </row>
    <row r="85" spans="3:6" x14ac:dyDescent="0.35">
      <c r="C85" s="22"/>
      <c r="D85" s="22"/>
      <c r="E85" s="22"/>
      <c r="F85" s="22"/>
    </row>
  </sheetData>
  <sheetProtection algorithmName="SHA-512" hashValue="X6yaeeXGLImTtfPTMnBehjgx2FhJ4oYHzNyXx4Yd9eVd4aYUBFz8F0NpVjVAge3k/eLLNGznuGqXqCRhvFkV9Q==" saltValue="SD0lXrbvxjimQcvS6Xkwpg==" spinCount="100000" sheet="1" selectLockedCells="1" selectUnlockedCells="1"/>
  <mergeCells count="8">
    <mergeCell ref="Q26:Q27"/>
    <mergeCell ref="C2:L3"/>
    <mergeCell ref="D31:F31"/>
    <mergeCell ref="C31:C32"/>
    <mergeCell ref="L31:L32"/>
    <mergeCell ref="G31:H31"/>
    <mergeCell ref="K31:K32"/>
    <mergeCell ref="B5:N6"/>
  </mergeCells>
  <conditionalFormatting sqref="D33:E33">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4:E34">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5:E35">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6:E36">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F33 L33 I33:I36">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4:F36 L34">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G33:H36 J33:J36">
    <cfRule type="dataBar" priority="61">
      <dataBar>
        <cfvo type="min"/>
        <cfvo type="max"/>
        <color theme="2"/>
      </dataBar>
      <extLst>
        <ext xmlns:x14="http://schemas.microsoft.com/office/spreadsheetml/2009/9/main" uri="{B025F937-C7B1-47D3-B67F-A62EFF666E3E}">
          <x14:id>{4BE4F2C4-9230-4C51-9E97-D225E9A5D985}</x14:id>
        </ext>
      </extLst>
    </cfRule>
  </conditionalFormatting>
  <conditionalFormatting sqref="K33:K37">
    <cfRule type="dataBar" priority="415">
      <dataBar>
        <cfvo type="min"/>
        <cfvo type="max"/>
        <color theme="2"/>
      </dataBar>
      <extLst>
        <ext xmlns:x14="http://schemas.microsoft.com/office/spreadsheetml/2009/9/main" uri="{B025F937-C7B1-47D3-B67F-A62EFF666E3E}">
          <x14:id>{03DE95BE-3C15-45C9-A3A3-FEF229BCD047}</x14:id>
        </ext>
      </extLst>
    </cfRule>
  </conditionalFormatting>
  <conditionalFormatting sqref="L35">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L36">
    <cfRule type="dataBar" priority="65">
      <dataBar>
        <cfvo type="min"/>
        <cfvo type="max"/>
        <color theme="2"/>
      </dataBar>
      <extLst>
        <ext xmlns:x14="http://schemas.microsoft.com/office/spreadsheetml/2009/9/main" uri="{B025F937-C7B1-47D3-B67F-A62EFF666E3E}">
          <x14:id>{47D12EEF-1E7C-443B-98EE-26AEB387CDA1}</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F33 L33 I33:I36</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F34:F36 L34</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G33:H36 J33:J36</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K33:K37</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L35</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zoomScaleNormal="100" workbookViewId="0">
      <selection activeCell="I8" sqref="I8"/>
    </sheetView>
  </sheetViews>
  <sheetFormatPr defaultColWidth="8.7265625" defaultRowHeight="14" x14ac:dyDescent="0.3"/>
  <cols>
    <col min="1" max="1" width="0.81640625" style="176" customWidth="1"/>
    <col min="2" max="2" width="3.7265625" style="176" customWidth="1"/>
    <col min="3" max="3" width="3.7265625" style="175" customWidth="1"/>
    <col min="4" max="4" width="3.453125" style="176" customWidth="1"/>
    <col min="5" max="5" width="12" style="176" customWidth="1"/>
    <col min="6" max="6" width="5.81640625" style="176" customWidth="1"/>
    <col min="7" max="7" width="10.453125" style="176" customWidth="1"/>
    <col min="8" max="8" width="1.453125" style="176" customWidth="1"/>
    <col min="9" max="9" width="10.453125" style="176" customWidth="1"/>
    <col min="10" max="10" width="5.81640625" style="176" customWidth="1"/>
    <col min="11" max="11" width="10.453125" style="176" customWidth="1"/>
    <col min="12" max="12" width="1.453125" style="176" customWidth="1"/>
    <col min="13" max="13" width="10.453125" style="176" customWidth="1"/>
    <col min="14" max="14" width="5.81640625" style="176" customWidth="1"/>
    <col min="15" max="15" width="10.453125" style="176" customWidth="1"/>
    <col min="16" max="16" width="1.453125" style="176" customWidth="1"/>
    <col min="17" max="17" width="10.453125" style="176" customWidth="1"/>
    <col min="18" max="18" width="5.81640625" style="176" customWidth="1"/>
    <col min="19" max="19" width="10.453125" style="176" customWidth="1"/>
    <col min="20" max="20" width="1.453125" style="176" customWidth="1"/>
    <col min="21" max="21" width="10.453125" style="176" customWidth="1"/>
    <col min="22" max="22" width="5.81640625" style="176" customWidth="1"/>
    <col min="23" max="24" width="9.453125" style="176" customWidth="1"/>
    <col min="25" max="25" width="9.54296875" style="176" customWidth="1"/>
    <col min="26" max="26" width="9.26953125" style="176" customWidth="1"/>
    <col min="27" max="27" width="7.26953125" style="176" customWidth="1"/>
    <col min="28" max="31" width="9.453125" style="176" customWidth="1"/>
    <col min="32" max="16384" width="8.7265625" style="176"/>
  </cols>
  <sheetData>
    <row r="1" spans="3:27" ht="7.5" customHeight="1" x14ac:dyDescent="0.3"/>
    <row r="2" spans="3:27" ht="7.5" customHeight="1" x14ac:dyDescent="0.3"/>
    <row r="5" spans="3:27" ht="11.25" customHeight="1" x14ac:dyDescent="0.3"/>
    <row r="6" spans="3:27" ht="20" x14ac:dyDescent="0.4">
      <c r="M6" s="293" t="s">
        <v>96</v>
      </c>
      <c r="N6" s="293"/>
      <c r="O6" s="293"/>
      <c r="P6" s="293"/>
    </row>
    <row r="7" spans="3:27" ht="18" customHeight="1" x14ac:dyDescent="0.3">
      <c r="D7" s="177" t="s">
        <v>146</v>
      </c>
      <c r="E7" s="178"/>
      <c r="F7" s="178"/>
      <c r="G7" s="178"/>
      <c r="H7" s="178"/>
      <c r="I7" s="178"/>
      <c r="K7" s="179"/>
      <c r="L7" s="179"/>
      <c r="M7" s="292"/>
      <c r="N7" s="292"/>
      <c r="O7" s="292"/>
      <c r="P7" s="292"/>
      <c r="Q7" s="179"/>
      <c r="R7" s="179"/>
      <c r="S7" s="282" t="str">
        <f ca="1">Message</f>
        <v>Your Name, you have 
198 days to complete 63 chapters &amp; 215 hrs of lectures.
For this you must study for 1:38 hrs and 5:16 hrs respectively on weekdays &amp; weekends.</v>
      </c>
      <c r="T7" s="282"/>
      <c r="U7" s="282"/>
      <c r="V7" s="282"/>
    </row>
    <row r="8" spans="3:27" ht="18.649999999999999" customHeight="1" x14ac:dyDescent="0.3">
      <c r="D8" s="180" t="s">
        <v>116</v>
      </c>
      <c r="E8" s="178"/>
      <c r="F8" s="178"/>
      <c r="G8" s="178"/>
      <c r="H8" s="178"/>
      <c r="I8" s="41">
        <v>2.5</v>
      </c>
      <c r="K8" s="179"/>
      <c r="L8" s="179"/>
      <c r="M8" s="179"/>
      <c r="N8" s="179"/>
      <c r="O8" s="179"/>
      <c r="P8" s="179"/>
      <c r="Q8" s="179"/>
      <c r="R8" s="179"/>
      <c r="S8" s="282"/>
      <c r="T8" s="282"/>
      <c r="U8" s="282"/>
      <c r="V8" s="282"/>
    </row>
    <row r="9" spans="3:27" ht="18.649999999999999" customHeight="1" x14ac:dyDescent="0.3">
      <c r="D9" s="180" t="s">
        <v>117</v>
      </c>
      <c r="E9" s="178"/>
      <c r="F9" s="178"/>
      <c r="G9" s="178"/>
      <c r="H9" s="178"/>
      <c r="I9" s="41">
        <v>8</v>
      </c>
      <c r="K9" s="179"/>
      <c r="L9" s="179"/>
      <c r="M9" s="179"/>
      <c r="N9" s="179"/>
      <c r="O9" s="179"/>
      <c r="P9" s="179"/>
      <c r="Q9" s="179"/>
      <c r="R9" s="179"/>
      <c r="S9" s="282"/>
      <c r="T9" s="282"/>
      <c r="U9" s="282"/>
      <c r="V9" s="282"/>
    </row>
    <row r="10" spans="3:27" ht="18.649999999999999" customHeight="1" x14ac:dyDescent="0.3">
      <c r="D10" s="180" t="s">
        <v>118</v>
      </c>
      <c r="E10" s="178"/>
      <c r="F10" s="178"/>
      <c r="G10" s="178"/>
      <c r="H10" s="178"/>
      <c r="I10" s="41">
        <v>5</v>
      </c>
      <c r="K10" s="179"/>
      <c r="L10" s="179"/>
      <c r="M10" s="179"/>
      <c r="O10" s="179"/>
      <c r="P10" s="179"/>
      <c r="Q10" s="179"/>
      <c r="R10" s="181"/>
      <c r="S10" s="282"/>
      <c r="T10" s="282"/>
      <c r="U10" s="282"/>
      <c r="V10" s="282"/>
    </row>
    <row r="11" spans="3:27" ht="18.649999999999999" customHeight="1" x14ac:dyDescent="0.3">
      <c r="D11" s="180" t="s">
        <v>119</v>
      </c>
      <c r="E11" s="178"/>
      <c r="F11" s="178"/>
      <c r="G11" s="178"/>
      <c r="H11" s="178"/>
      <c r="I11" s="42">
        <v>21</v>
      </c>
      <c r="K11" s="179"/>
      <c r="L11" s="179"/>
      <c r="M11" s="179"/>
      <c r="O11" s="179"/>
      <c r="P11" s="179"/>
      <c r="Q11" s="179"/>
      <c r="R11" s="182"/>
      <c r="S11" s="282"/>
      <c r="T11" s="282"/>
      <c r="U11" s="282"/>
      <c r="V11" s="282"/>
    </row>
    <row r="12" spans="3:27" ht="18.649999999999999" customHeight="1" x14ac:dyDescent="0.3">
      <c r="D12" s="180" t="s">
        <v>135</v>
      </c>
      <c r="E12" s="178"/>
      <c r="F12" s="178"/>
      <c r="G12" s="178"/>
      <c r="H12" s="178"/>
      <c r="I12" s="42">
        <v>5</v>
      </c>
      <c r="K12" s="179"/>
      <c r="L12" s="179"/>
      <c r="M12" s="179"/>
      <c r="O12" s="179"/>
      <c r="P12" s="179"/>
      <c r="Q12" s="179"/>
      <c r="S12" s="282"/>
      <c r="T12" s="282"/>
      <c r="U12" s="282"/>
      <c r="V12" s="282"/>
    </row>
    <row r="14" spans="3:27" s="183" customFormat="1" ht="18.75" customHeight="1" x14ac:dyDescent="0.3">
      <c r="C14" s="175"/>
      <c r="G14" s="297"/>
      <c r="H14" s="297"/>
      <c r="I14" s="297"/>
      <c r="J14" s="184"/>
      <c r="K14" s="184"/>
      <c r="L14" s="184"/>
      <c r="M14" s="185"/>
      <c r="N14" s="186"/>
      <c r="O14" s="187"/>
      <c r="P14" s="188"/>
      <c r="Q14" s="189"/>
      <c r="R14" s="190"/>
    </row>
    <row r="15" spans="3:27" s="183" customFormat="1" ht="15" customHeight="1" x14ac:dyDescent="0.3">
      <c r="C15" s="175"/>
      <c r="J15" s="191"/>
      <c r="K15" s="291"/>
      <c r="L15" s="291"/>
      <c r="M15" s="185"/>
      <c r="N15" s="186"/>
      <c r="O15" s="187"/>
      <c r="P15" s="188"/>
      <c r="Q15" s="189"/>
      <c r="R15" s="190"/>
      <c r="X15" s="192"/>
      <c r="Y15" s="192"/>
      <c r="Z15" s="192"/>
      <c r="AA15" s="176"/>
    </row>
    <row r="16" spans="3:27" s="183" customFormat="1" ht="15" customHeight="1" x14ac:dyDescent="0.3">
      <c r="C16" s="193" t="s">
        <v>120</v>
      </c>
      <c r="D16" s="193"/>
      <c r="F16" s="193"/>
      <c r="J16" s="191"/>
      <c r="K16" s="184"/>
      <c r="L16" s="184"/>
      <c r="M16" s="185"/>
      <c r="N16" s="186"/>
      <c r="O16" s="187"/>
      <c r="P16" s="188"/>
      <c r="Q16" s="189"/>
      <c r="R16" s="190"/>
      <c r="X16" s="194"/>
      <c r="Y16" s="194"/>
      <c r="Z16" s="194"/>
    </row>
    <row r="17" spans="2:30" s="183" customFormat="1" ht="15" customHeight="1" x14ac:dyDescent="0.3">
      <c r="C17" s="195"/>
      <c r="D17" s="196" t="s">
        <v>38</v>
      </c>
      <c r="F17" s="196"/>
      <c r="K17" s="184"/>
      <c r="L17" s="184"/>
      <c r="M17" s="185"/>
      <c r="N17" s="186"/>
      <c r="O17" s="187"/>
      <c r="P17" s="188"/>
      <c r="Q17" s="189"/>
      <c r="R17" s="190"/>
      <c r="X17" s="194"/>
      <c r="Y17" s="194"/>
      <c r="Z17" s="194"/>
    </row>
    <row r="18" spans="2:30" s="183" customFormat="1" ht="15" customHeight="1" x14ac:dyDescent="0.3">
      <c r="C18" s="197"/>
      <c r="D18" s="196" t="s">
        <v>124</v>
      </c>
      <c r="F18" s="196"/>
      <c r="J18" s="184"/>
      <c r="K18" s="184"/>
      <c r="L18" s="184"/>
      <c r="M18" s="185"/>
      <c r="N18" s="186"/>
      <c r="O18" s="187"/>
      <c r="P18" s="188"/>
      <c r="Q18" s="189"/>
      <c r="R18" s="190"/>
      <c r="X18" s="194"/>
      <c r="Y18" s="194"/>
      <c r="Z18" s="194"/>
      <c r="AB18" s="294"/>
      <c r="AC18" s="294"/>
      <c r="AD18" s="191"/>
    </row>
    <row r="19" spans="2:30" s="183" customFormat="1" ht="15" customHeight="1" x14ac:dyDescent="0.3">
      <c r="J19" s="184"/>
      <c r="K19" s="184"/>
      <c r="L19" s="184"/>
      <c r="M19" s="185"/>
      <c r="N19" s="186"/>
      <c r="O19" s="187"/>
      <c r="P19" s="188"/>
      <c r="Q19" s="189"/>
      <c r="R19" s="190"/>
      <c r="X19" s="194"/>
      <c r="Y19" s="194"/>
      <c r="Z19" s="194"/>
      <c r="AB19" s="176"/>
      <c r="AC19" s="196"/>
      <c r="AD19" s="191"/>
    </row>
    <row r="20" spans="2:30" s="183" customFormat="1" ht="15" customHeight="1" x14ac:dyDescent="0.3">
      <c r="C20" s="199" t="s">
        <v>121</v>
      </c>
      <c r="D20" s="198"/>
      <c r="F20" s="198"/>
      <c r="J20" s="184"/>
      <c r="K20" s="184"/>
      <c r="L20" s="184"/>
      <c r="M20" s="185"/>
      <c r="N20" s="186"/>
      <c r="O20" s="187"/>
      <c r="P20" s="188"/>
      <c r="Q20" s="189"/>
      <c r="R20" s="190"/>
      <c r="X20" s="194"/>
      <c r="Y20" s="194"/>
      <c r="Z20" s="194"/>
      <c r="AB20" s="196"/>
    </row>
    <row r="21" spans="2:30" s="183" customFormat="1" ht="16.5" x14ac:dyDescent="0.3">
      <c r="C21" s="200"/>
      <c r="D21" s="196" t="s">
        <v>37</v>
      </c>
      <c r="F21" s="196"/>
      <c r="G21" s="201"/>
      <c r="H21" s="201"/>
      <c r="I21" s="201"/>
      <c r="J21" s="184"/>
      <c r="K21" s="184"/>
      <c r="L21" s="184"/>
      <c r="M21" s="185"/>
      <c r="N21" s="202"/>
      <c r="O21" s="203"/>
      <c r="P21" s="203"/>
      <c r="Q21" s="203"/>
      <c r="R21" s="203"/>
      <c r="S21" s="204"/>
      <c r="T21" s="204"/>
      <c r="U21" s="204"/>
      <c r="V21" s="176"/>
      <c r="Y21" s="176"/>
      <c r="Z21" s="196"/>
      <c r="AA21" s="176"/>
      <c r="AB21" s="196"/>
    </row>
    <row r="22" spans="2:30" s="183" customFormat="1" ht="15" customHeight="1" x14ac:dyDescent="0.3">
      <c r="C22" s="205"/>
      <c r="D22" s="196" t="s">
        <v>125</v>
      </c>
      <c r="F22" s="196"/>
      <c r="G22" s="201"/>
      <c r="H22" s="201"/>
      <c r="I22" s="201"/>
      <c r="J22" s="204"/>
      <c r="K22" s="204"/>
      <c r="L22" s="204"/>
      <c r="M22" s="185"/>
      <c r="N22" s="206"/>
      <c r="O22" s="207"/>
      <c r="P22" s="207"/>
      <c r="Q22" s="189"/>
      <c r="R22" s="207"/>
      <c r="S22" s="204"/>
      <c r="T22" s="204"/>
      <c r="U22" s="204"/>
      <c r="V22" s="176"/>
      <c r="AB22" s="176"/>
      <c r="AC22" s="176"/>
    </row>
    <row r="23" spans="2:30" s="183" customFormat="1" ht="15" customHeight="1" x14ac:dyDescent="0.3">
      <c r="C23" s="175"/>
      <c r="D23" s="176"/>
      <c r="E23" s="176"/>
      <c r="F23" s="176"/>
      <c r="G23" s="204"/>
      <c r="H23" s="204"/>
      <c r="I23" s="204"/>
      <c r="J23" s="184"/>
      <c r="K23" s="184"/>
      <c r="L23" s="184"/>
      <c r="M23" s="185"/>
      <c r="N23" s="208"/>
      <c r="O23" s="188"/>
      <c r="P23" s="188"/>
      <c r="Q23" s="189"/>
      <c r="R23" s="188"/>
      <c r="S23" s="204"/>
      <c r="T23" s="204"/>
      <c r="U23" s="204"/>
      <c r="V23" s="176"/>
      <c r="AB23" s="176"/>
      <c r="AC23" s="176"/>
    </row>
    <row r="24" spans="2:30" s="183" customFormat="1" ht="15" customHeight="1" x14ac:dyDescent="0.3">
      <c r="C24" s="175"/>
      <c r="D24" s="176"/>
      <c r="E24" s="176"/>
      <c r="F24" s="176"/>
      <c r="G24" s="204"/>
      <c r="H24" s="204"/>
      <c r="I24" s="204"/>
      <c r="J24" s="184"/>
      <c r="K24" s="184"/>
      <c r="L24" s="184"/>
      <c r="M24" s="185"/>
      <c r="N24" s="208"/>
      <c r="O24" s="188"/>
      <c r="P24" s="188"/>
      <c r="Q24" s="189"/>
      <c r="R24" s="188"/>
      <c r="S24" s="204"/>
      <c r="T24" s="204"/>
      <c r="U24" s="204"/>
      <c r="V24" s="176"/>
      <c r="AB24" s="176"/>
      <c r="AC24" s="176"/>
    </row>
    <row r="25" spans="2:30" s="183" customFormat="1" ht="15" customHeight="1" x14ac:dyDescent="0.3">
      <c r="C25" s="175"/>
      <c r="D25" s="176"/>
      <c r="E25" s="176"/>
      <c r="F25" s="176"/>
      <c r="G25" s="204"/>
      <c r="H25" s="204"/>
      <c r="I25" s="204"/>
      <c r="J25" s="184"/>
      <c r="K25" s="184"/>
      <c r="L25" s="184"/>
      <c r="M25" s="185"/>
      <c r="N25" s="208"/>
      <c r="O25" s="188"/>
      <c r="P25" s="188"/>
      <c r="Q25" s="189"/>
      <c r="R25" s="188"/>
      <c r="S25" s="204"/>
      <c r="T25" s="204"/>
      <c r="U25" s="204"/>
      <c r="V25" s="176"/>
      <c r="AB25" s="176"/>
      <c r="AC25" s="176"/>
    </row>
    <row r="26" spans="2:30" s="33" customFormat="1" ht="15" customHeight="1" thickBot="1" x14ac:dyDescent="0.35">
      <c r="C26" s="214"/>
      <c r="D26" s="32"/>
      <c r="E26" s="32"/>
      <c r="F26" s="32"/>
      <c r="G26" s="303" t="s">
        <v>136</v>
      </c>
      <c r="H26" s="303"/>
      <c r="I26" s="303"/>
      <c r="J26" s="215"/>
      <c r="K26" s="303" t="s">
        <v>137</v>
      </c>
      <c r="L26" s="303"/>
      <c r="M26" s="303"/>
      <c r="N26" s="216"/>
      <c r="O26" s="303" t="s">
        <v>138</v>
      </c>
      <c r="P26" s="303"/>
      <c r="Q26" s="303"/>
      <c r="R26" s="217"/>
      <c r="S26" s="303" t="s">
        <v>140</v>
      </c>
      <c r="T26" s="303"/>
      <c r="U26" s="303"/>
      <c r="V26" s="32"/>
      <c r="AB26" s="32"/>
      <c r="AC26" s="32"/>
    </row>
    <row r="27" spans="2:30" s="33" customFormat="1" ht="7.5" customHeight="1" thickTop="1" thickBot="1" x14ac:dyDescent="0.35">
      <c r="C27" s="214"/>
      <c r="D27" s="32"/>
      <c r="E27" s="32"/>
      <c r="F27" s="32"/>
      <c r="G27" s="218"/>
      <c r="H27" s="219"/>
      <c r="I27" s="220"/>
      <c r="J27" s="32"/>
      <c r="K27" s="220"/>
      <c r="L27" s="221"/>
      <c r="M27" s="220"/>
      <c r="N27" s="222"/>
      <c r="O27" s="220"/>
      <c r="P27" s="222"/>
      <c r="Q27" s="220"/>
      <c r="R27" s="222"/>
      <c r="S27" s="220"/>
      <c r="T27" s="222"/>
      <c r="U27" s="220"/>
      <c r="V27" s="32"/>
      <c r="W27" s="223"/>
      <c r="X27" s="223"/>
      <c r="Y27" s="32"/>
      <c r="Z27" s="32"/>
      <c r="AA27" s="32"/>
      <c r="AB27" s="32"/>
      <c r="AC27" s="32"/>
    </row>
    <row r="28" spans="2:30" s="224" customFormat="1" ht="11.5" thickTop="1" thickBot="1" x14ac:dyDescent="0.3">
      <c r="D28" s="225"/>
      <c r="E28" s="225"/>
      <c r="F28" s="225"/>
      <c r="G28" s="226" t="s">
        <v>131</v>
      </c>
      <c r="H28" s="227"/>
      <c r="I28" s="226" t="s">
        <v>132</v>
      </c>
      <c r="J28" s="225"/>
      <c r="K28" s="226" t="s">
        <v>131</v>
      </c>
      <c r="L28" s="225"/>
      <c r="M28" s="226" t="s">
        <v>132</v>
      </c>
      <c r="N28" s="228"/>
      <c r="O28" s="226" t="s">
        <v>131</v>
      </c>
      <c r="P28" s="229"/>
      <c r="Q28" s="226" t="s">
        <v>132</v>
      </c>
      <c r="R28" s="229"/>
      <c r="S28" s="226" t="s">
        <v>131</v>
      </c>
      <c r="T28" s="225"/>
      <c r="U28" s="226" t="s">
        <v>132</v>
      </c>
      <c r="V28" s="225"/>
      <c r="AB28" s="225"/>
      <c r="AC28" s="225"/>
    </row>
    <row r="29" spans="2:30" s="33" customFormat="1" ht="21.75" customHeight="1" thickTop="1" x14ac:dyDescent="0.3">
      <c r="B29" s="283" t="s">
        <v>134</v>
      </c>
      <c r="C29" s="284"/>
      <c r="D29" s="298" t="s">
        <v>38</v>
      </c>
      <c r="E29" s="298"/>
      <c r="F29" s="230"/>
      <c r="G29" s="231">
        <f ca="1">Working!D24</f>
        <v>0</v>
      </c>
      <c r="H29" s="232"/>
      <c r="I29" s="233">
        <f ca="1">Working!D29</f>
        <v>0</v>
      </c>
      <c r="J29" s="234"/>
      <c r="K29" s="235">
        <f ca="1">Working!D26</f>
        <v>0</v>
      </c>
      <c r="L29" s="236"/>
      <c r="M29" s="235">
        <f ca="1">Working!D31</f>
        <v>0</v>
      </c>
      <c r="N29" s="237"/>
      <c r="O29" s="235">
        <f ca="1">Working!D27</f>
        <v>0</v>
      </c>
      <c r="P29" s="238"/>
      <c r="Q29" s="235">
        <f ca="1">Working!D32</f>
        <v>0</v>
      </c>
      <c r="R29" s="238"/>
      <c r="S29" s="239">
        <f ca="1">O29+K29</f>
        <v>0</v>
      </c>
      <c r="T29" s="232"/>
      <c r="U29" s="239">
        <f ca="1">Q29+M29</f>
        <v>0</v>
      </c>
      <c r="V29" s="32"/>
      <c r="AB29" s="32"/>
      <c r="AC29" s="32"/>
    </row>
    <row r="30" spans="2:30" s="33" customFormat="1" ht="21.75" customHeight="1" thickBot="1" x14ac:dyDescent="0.35">
      <c r="B30" s="285"/>
      <c r="C30" s="286"/>
      <c r="D30" s="299" t="s">
        <v>37</v>
      </c>
      <c r="E30" s="300"/>
      <c r="F30" s="230"/>
      <c r="G30" s="240">
        <f ca="1">Working!C24</f>
        <v>0.59274193548387089</v>
      </c>
      <c r="H30" s="232"/>
      <c r="I30" s="241">
        <f ca="1">Working!C29</f>
        <v>8.4677419354838704E-2</v>
      </c>
      <c r="J30" s="234"/>
      <c r="K30" s="242">
        <f ca="1">Working!C26</f>
        <v>8.4664351851851824E-2</v>
      </c>
      <c r="L30" s="243"/>
      <c r="M30" s="242">
        <f ca="1">Working!C31</f>
        <v>1.2094907407407405E-2</v>
      </c>
      <c r="N30" s="244"/>
      <c r="O30" s="242">
        <f ca="1">Working!C27</f>
        <v>0.12348790322580644</v>
      </c>
      <c r="P30" s="245"/>
      <c r="Q30" s="242">
        <f ca="1">Working!C32</f>
        <v>1.7641129032258063E-2</v>
      </c>
      <c r="R30" s="245"/>
      <c r="S30" s="242">
        <f ca="1">O30+K30</f>
        <v>0.20815225507765828</v>
      </c>
      <c r="T30" s="232"/>
      <c r="U30" s="242">
        <f ca="1">Q30+M30</f>
        <v>2.9736036439665468E-2</v>
      </c>
      <c r="V30" s="32"/>
      <c r="AB30" s="32"/>
      <c r="AC30" s="32"/>
    </row>
    <row r="31" spans="2:30" s="32" customFormat="1" ht="15.65" customHeight="1" thickTop="1" thickBot="1" x14ac:dyDescent="0.35">
      <c r="B31" s="287"/>
      <c r="C31" s="288"/>
      <c r="D31" s="301" t="s">
        <v>56</v>
      </c>
      <c r="E31" s="301"/>
      <c r="F31" s="230"/>
      <c r="G31" s="279">
        <f ca="1">Working!E24</f>
        <v>-1</v>
      </c>
      <c r="H31" s="280"/>
      <c r="I31" s="281"/>
      <c r="J31" s="246"/>
      <c r="K31" s="279">
        <f ca="1">Working!E26</f>
        <v>-1</v>
      </c>
      <c r="L31" s="280"/>
      <c r="M31" s="281"/>
      <c r="N31" s="247"/>
      <c r="O31" s="279">
        <f ca="1">Working!E27</f>
        <v>-1</v>
      </c>
      <c r="P31" s="280"/>
      <c r="Q31" s="281"/>
      <c r="R31" s="217"/>
      <c r="S31" s="279">
        <f ca="1">Working!E25</f>
        <v>-1</v>
      </c>
      <c r="T31" s="280"/>
      <c r="U31" s="281"/>
    </row>
    <row r="32" spans="2:30" s="32" customFormat="1" ht="15" customHeight="1" thickTop="1" thickBot="1" x14ac:dyDescent="0.35">
      <c r="B32" s="289" t="s">
        <v>133</v>
      </c>
      <c r="C32" s="290"/>
      <c r="D32" s="302" t="s">
        <v>41</v>
      </c>
      <c r="E32" s="302"/>
      <c r="F32" s="230"/>
      <c r="G32" s="248">
        <f ca="1">Working!F24</f>
        <v>2.2272727272727275</v>
      </c>
      <c r="H32" s="249"/>
      <c r="I32" s="248">
        <f ca="1">Working!F29</f>
        <v>0.31818181818181818</v>
      </c>
      <c r="J32" s="232"/>
      <c r="K32" s="250">
        <f ca="1">Working!F26</f>
        <v>0.31813271604938265</v>
      </c>
      <c r="L32" s="243"/>
      <c r="M32" s="250">
        <f ca="1">Working!F31</f>
        <v>4.5447530864197519E-2</v>
      </c>
      <c r="N32" s="251"/>
      <c r="O32" s="250">
        <f ca="1">Working!F27</f>
        <v>0.46401515151515155</v>
      </c>
      <c r="P32" s="252"/>
      <c r="Q32" s="250">
        <f ca="1">Working!F32</f>
        <v>6.6287878787878785E-2</v>
      </c>
      <c r="R32" s="252"/>
      <c r="S32" s="250">
        <f ca="1">O32+K32</f>
        <v>0.78214786756453414</v>
      </c>
      <c r="T32" s="232"/>
      <c r="U32" s="250">
        <f ca="1">Q32+M32</f>
        <v>0.1117354096520763</v>
      </c>
    </row>
    <row r="33" spans="2:21" s="32" customFormat="1" ht="15" customHeight="1" thickTop="1" thickBot="1" x14ac:dyDescent="0.35">
      <c r="B33" s="289"/>
      <c r="C33" s="290"/>
      <c r="D33" s="295" t="s">
        <v>92</v>
      </c>
      <c r="E33" s="296"/>
      <c r="F33" s="230"/>
      <c r="G33" s="279" t="str">
        <f ca="1">Working!G24</f>
        <v>+100%</v>
      </c>
      <c r="H33" s="280"/>
      <c r="I33" s="281"/>
      <c r="K33" s="279" t="str">
        <f ca="1">Working!G26</f>
        <v>+100%</v>
      </c>
      <c r="L33" s="280"/>
      <c r="M33" s="281"/>
      <c r="N33" s="247"/>
      <c r="O33" s="279" t="str">
        <f ca="1">Working!G27</f>
        <v>+100%</v>
      </c>
      <c r="P33" s="280"/>
      <c r="Q33" s="281"/>
      <c r="R33" s="217"/>
      <c r="S33" s="279" t="str">
        <f ca="1">Working!G25</f>
        <v>+100%</v>
      </c>
      <c r="T33" s="280"/>
      <c r="U33" s="281"/>
    </row>
    <row r="34" spans="2:21" ht="14.5" thickTop="1" x14ac:dyDescent="0.3">
      <c r="D34" s="209"/>
      <c r="E34" s="209"/>
      <c r="F34" s="209"/>
      <c r="G34" s="209"/>
      <c r="H34" s="209"/>
      <c r="I34" s="209"/>
      <c r="N34" s="210"/>
      <c r="O34" s="188"/>
      <c r="P34" s="188"/>
      <c r="Q34" s="189"/>
      <c r="R34" s="188"/>
    </row>
    <row r="35" spans="2:21" x14ac:dyDescent="0.3">
      <c r="B35" s="176" t="s">
        <v>218</v>
      </c>
      <c r="D35" s="209"/>
      <c r="E35" s="209"/>
      <c r="F35" s="209"/>
      <c r="G35" s="209"/>
      <c r="H35" s="209"/>
      <c r="I35" s="209"/>
      <c r="N35" s="210"/>
      <c r="O35" s="188"/>
      <c r="P35" s="188"/>
      <c r="Q35" s="189"/>
      <c r="R35" s="188"/>
    </row>
    <row r="36" spans="2:21" ht="15" customHeight="1" x14ac:dyDescent="0.3">
      <c r="J36" s="211"/>
      <c r="K36" s="209"/>
      <c r="N36" s="210"/>
      <c r="O36" s="188"/>
      <c r="P36" s="188"/>
      <c r="Q36" s="189"/>
      <c r="R36" s="188"/>
    </row>
    <row r="37" spans="2:21" ht="15" customHeight="1" x14ac:dyDescent="0.3"/>
    <row r="38" spans="2:21" ht="15" customHeight="1" x14ac:dyDescent="0.3"/>
    <row r="39" spans="2:21" ht="15" customHeight="1" x14ac:dyDescent="0.3">
      <c r="O39" s="212"/>
      <c r="Q39" s="213"/>
    </row>
    <row r="40" spans="2:21" ht="15" customHeight="1" x14ac:dyDescent="0.3"/>
    <row r="45" spans="2:21" ht="15" customHeight="1" x14ac:dyDescent="0.3"/>
  </sheetData>
  <sheetProtection algorithmName="SHA-512" hashValue="Tqjg1xj0iICfahytHQbqn0/ldfLu1/dPptiPBLTNjJdcBgytjSvDhcCuFM4tf24/QjbaT3bGM5shP7l+reacdw==" saltValue="RbTy0v+mLUuAi9s4yuVlxg==" spinCount="100000" sheet="1" selectLockedCells="1" sort="0" autoFilter="0" pivotTables="0"/>
  <mergeCells count="25">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 ref="O33:Q33"/>
    <mergeCell ref="S7:V12"/>
    <mergeCell ref="B29:C31"/>
    <mergeCell ref="B32:C33"/>
    <mergeCell ref="K15:L15"/>
    <mergeCell ref="G31:I31"/>
    <mergeCell ref="M7:P7"/>
    <mergeCell ref="S31:U31"/>
    <mergeCell ref="S33:U33"/>
  </mergeCells>
  <conditionalFormatting sqref="G31">
    <cfRule type="cellIs" dxfId="27" priority="21" operator="greaterThanOrEqual">
      <formula>0.0001</formula>
    </cfRule>
    <cfRule type="cellIs" dxfId="26" priority="22" operator="lessThan">
      <formula>0</formula>
    </cfRule>
  </conditionalFormatting>
  <conditionalFormatting sqref="G33">
    <cfRule type="cellIs" dxfId="25" priority="7" operator="lessThan">
      <formula>0</formula>
    </cfRule>
    <cfRule type="cellIs" dxfId="24" priority="8" operator="greaterThanOrEqual">
      <formula>0.00001</formula>
    </cfRule>
  </conditionalFormatting>
  <conditionalFormatting sqref="K31">
    <cfRule type="cellIs" dxfId="23" priority="13" operator="greaterThanOrEqual">
      <formula>0.0001</formula>
    </cfRule>
    <cfRule type="cellIs" dxfId="22" priority="14" operator="lessThan">
      <formula>0</formula>
    </cfRule>
  </conditionalFormatting>
  <conditionalFormatting sqref="K33">
    <cfRule type="cellIs" dxfId="21" priority="5" operator="lessThan">
      <formula>0</formula>
    </cfRule>
    <cfRule type="cellIs" dxfId="20" priority="6" operator="greaterThanOrEqual">
      <formula>0.00001</formula>
    </cfRule>
  </conditionalFormatting>
  <conditionalFormatting sqref="O31">
    <cfRule type="cellIs" dxfId="19" priority="11" operator="greaterThanOrEqual">
      <formula>0.0001</formula>
    </cfRule>
    <cfRule type="cellIs" dxfId="18" priority="12" operator="lessThan">
      <formula>0</formula>
    </cfRule>
  </conditionalFormatting>
  <conditionalFormatting sqref="O33">
    <cfRule type="cellIs" dxfId="17" priority="3" operator="lessThan">
      <formula>0</formula>
    </cfRule>
    <cfRule type="cellIs" dxfId="16" priority="4" operator="greaterThanOrEqual">
      <formula>0.00001</formula>
    </cfRule>
  </conditionalFormatting>
  <conditionalFormatting sqref="S31">
    <cfRule type="cellIs" dxfId="15" priority="9" operator="greaterThanOrEqual">
      <formula>0.0001</formula>
    </cfRule>
    <cfRule type="cellIs" dxfId="14" priority="10" operator="lessThan">
      <formula>0</formula>
    </cfRule>
  </conditionalFormatting>
  <conditionalFormatting sqref="S33">
    <cfRule type="cellIs" dxfId="13" priority="1" operator="lessThan">
      <formula>0</formula>
    </cfRule>
    <cfRule type="cellIs" dxfId="12" priority="2" operator="greaterThanOrEqual">
      <formula>0.00001</formula>
    </cfRule>
  </conditionalFormatting>
  <dataValidations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topLeftCell="A28" zoomScale="70" zoomScaleNormal="70" workbookViewId="0">
      <selection activeCell="C78" sqref="C78"/>
    </sheetView>
  </sheetViews>
  <sheetFormatPr defaultColWidth="8.7265625" defaultRowHeight="14" x14ac:dyDescent="0.3"/>
  <cols>
    <col min="1" max="1" width="8.7265625" style="79"/>
    <col min="2" max="2" width="13.36328125" style="79" bestFit="1" customWidth="1"/>
    <col min="3" max="3" width="20.6328125" style="79" bestFit="1" customWidth="1"/>
    <col min="4" max="4" width="15.453125" style="79" bestFit="1" customWidth="1"/>
    <col min="5" max="5" width="22.453125" style="79" customWidth="1"/>
    <col min="6" max="6" width="9.54296875" style="79" customWidth="1"/>
    <col min="7" max="7" width="15.81640625" style="79" customWidth="1"/>
    <col min="8" max="8" width="10.26953125" style="79" customWidth="1"/>
    <col min="9" max="9" width="8.7265625" style="79"/>
    <col min="10" max="10" width="15.54296875" style="79" bestFit="1" customWidth="1"/>
    <col min="11" max="11" width="24.81640625" style="102" bestFit="1" customWidth="1"/>
    <col min="12" max="13" width="9.1796875" style="102"/>
    <col min="14" max="14" width="26.7265625" style="79" bestFit="1" customWidth="1"/>
    <col min="15" max="16384" width="8.7265625" style="79"/>
  </cols>
  <sheetData>
    <row r="2" spans="2:14" x14ac:dyDescent="0.3">
      <c r="B2" s="78" t="s">
        <v>111</v>
      </c>
      <c r="C2" s="78"/>
      <c r="E2" s="80" t="s">
        <v>47</v>
      </c>
      <c r="F2" s="80" t="s">
        <v>49</v>
      </c>
      <c r="G2" s="80" t="s">
        <v>52</v>
      </c>
      <c r="H2" s="80" t="s">
        <v>51</v>
      </c>
      <c r="I2" s="80" t="s">
        <v>48</v>
      </c>
      <c r="J2" s="80" t="s">
        <v>50</v>
      </c>
      <c r="K2" s="81" t="s">
        <v>46</v>
      </c>
      <c r="L2" s="79"/>
      <c r="M2" s="79"/>
    </row>
    <row r="3" spans="2:14" ht="15.5" x14ac:dyDescent="0.3">
      <c r="B3" s="82" t="s">
        <v>54</v>
      </c>
      <c r="C3" s="11">
        <f>'⏱ Input'!T4</f>
        <v>8.9986111111111082</v>
      </c>
      <c r="D3" s="83"/>
      <c r="E3" s="84">
        <f>'📝 Instructions'!F8</f>
        <v>44845</v>
      </c>
      <c r="F3" s="85">
        <v>1</v>
      </c>
      <c r="G3" s="85">
        <f>Table134[[#This Row],[Diff %]]</f>
        <v>0</v>
      </c>
      <c r="H3" s="86">
        <v>0</v>
      </c>
      <c r="I3" s="87">
        <f>Table134[[#This Row],[Difference]]/$F$7</f>
        <v>1.2987012987012987E-3</v>
      </c>
      <c r="J3" s="87"/>
      <c r="K3" s="88" t="str">
        <f>"Start "&amp;CHAR(10)&amp;TEXT(Table134[[#This Row],[YEAR]],"dd-mmm-yy")</f>
        <v>Start 
11-Oct-22</v>
      </c>
      <c r="L3" s="79"/>
      <c r="M3" s="79"/>
    </row>
    <row r="4" spans="2:14" ht="15.5" x14ac:dyDescent="0.3">
      <c r="B4" s="82" t="s">
        <v>113</v>
      </c>
      <c r="C4" s="11">
        <f>('📊 Summary'!I10*'⏱ Input'!V4)/24</f>
        <v>13.125</v>
      </c>
      <c r="D4" s="83"/>
      <c r="E4" s="84">
        <f ca="1">TODAY()</f>
        <v>45391</v>
      </c>
      <c r="F4" s="85">
        <f ca="1">Table134[[#This Row],[YEAR]]-$E$3</f>
        <v>546</v>
      </c>
      <c r="G4" s="85">
        <f ca="1">Table134[[#This Row],[Diff %]]</f>
        <v>0.70779220779220786</v>
      </c>
      <c r="H4" s="86">
        <f ca="1">Table134[[#This Row],[%]]-I3</f>
        <v>0.70779220779220786</v>
      </c>
      <c r="I4" s="87">
        <f ca="1">Table134[[#This Row],[Difference]]/$F$7</f>
        <v>0.70909090909090911</v>
      </c>
      <c r="J4" s="89" t="str">
        <f ca="1">Table134[[#This Row],[YEAR]]-E3&amp;" days over"</f>
        <v>546 days over</v>
      </c>
      <c r="K4" s="88" t="str">
        <f ca="1">"Today "&amp;TEXT(Table134[[#This Row],[YEAR]],"dd-mmm-yy")</f>
        <v>Today 09-Apr-24</v>
      </c>
      <c r="L4" s="79"/>
      <c r="M4" s="79"/>
    </row>
    <row r="5" spans="2:14" ht="15.5" x14ac:dyDescent="0.3">
      <c r="B5" s="76" t="s">
        <v>55</v>
      </c>
      <c r="C5" s="11">
        <f>SUM(C3:C4)</f>
        <v>22.12361111111111</v>
      </c>
      <c r="D5" s="83"/>
      <c r="E5" s="84">
        <f>E6-'📊 Summary'!I12</f>
        <v>45589</v>
      </c>
      <c r="F5" s="85">
        <f>Table134[[#This Row],[YEAR]]-$E$3</f>
        <v>744</v>
      </c>
      <c r="G5" s="85">
        <f ca="1">Table134[[#This Row],[Diff %]]</f>
        <v>0.25714285714285712</v>
      </c>
      <c r="H5" s="86">
        <f ca="1">Table134[[#This Row],[%]]-I4</f>
        <v>0.25714285714285712</v>
      </c>
      <c r="I5" s="87">
        <f>Table134[[#This Row],[Difference]]/$F$7</f>
        <v>0.96623376623376622</v>
      </c>
      <c r="J5" s="89" t="str">
        <f ca="1">IF(E4&gt;Table134[[#This Row],[YEAR]],Table134[[#This Row],[YEAR]]-E3,Table134[[#This Row],[YEAR]]-E4)&amp;" study days left"</f>
        <v>198 study days left</v>
      </c>
      <c r="K5" s="88" t="str">
        <f>"Lecture Completed "&amp;TEXT(Table134[[#This Row],[YEAR]],"dd-mmm-yy")</f>
        <v>Lecture Completed 24-Oct-24</v>
      </c>
      <c r="L5" s="79"/>
      <c r="M5" s="79"/>
    </row>
    <row r="6" spans="2:14" ht="15.5" x14ac:dyDescent="0.3">
      <c r="B6" s="76" t="s">
        <v>112</v>
      </c>
      <c r="C6" s="118">
        <f>C5/(((('📊 Summary'!I8*5)+('📊 Summary'!I9*2))/24)/7)</f>
        <v>130.41286549707601</v>
      </c>
      <c r="D6" s="90"/>
      <c r="E6" s="84">
        <f>E7-'📊 Summary'!I11</f>
        <v>45594</v>
      </c>
      <c r="F6" s="85">
        <f>Table134[[#This Row],[YEAR]]-$E$3</f>
        <v>749</v>
      </c>
      <c r="G6" s="85">
        <f>Table134[[#This Row],[Diff %]]</f>
        <v>6.4935064935065512E-3</v>
      </c>
      <c r="H6" s="86">
        <f>Table134[[#This Row],[%]]-I5</f>
        <v>6.4935064935065512E-3</v>
      </c>
      <c r="I6" s="87">
        <f>Table134[[#This Row],[Difference]]/$F$7</f>
        <v>0.97272727272727277</v>
      </c>
      <c r="J6" s="89" t="str">
        <f>Table134[[#This Row],[YEAR]]-E5&amp;"  buffer days"</f>
        <v>5  buffer days</v>
      </c>
      <c r="K6" s="88" t="str">
        <f>"Start Revision "&amp;TEXT(Table134[[#This Row],[YEAR]],"dd-mmm-yy")</f>
        <v>Start Revision 29-Oct-24</v>
      </c>
      <c r="L6" s="79"/>
      <c r="M6" s="79"/>
    </row>
    <row r="7" spans="2:14" x14ac:dyDescent="0.3">
      <c r="E7" s="84">
        <f>'📝 Instructions'!F9</f>
        <v>45615</v>
      </c>
      <c r="F7" s="85">
        <f>Table134[[#This Row],[YEAR]]-$E$3</f>
        <v>770</v>
      </c>
      <c r="G7" s="85">
        <f>Table134[[#This Row],[Diff %]]</f>
        <v>2.7272727272727226E-2</v>
      </c>
      <c r="H7" s="86">
        <f>Table134[[#This Row],[%]]-I6</f>
        <v>2.7272727272727226E-2</v>
      </c>
      <c r="I7" s="87">
        <f>Table134[[#This Row],[Difference]]/$F$7</f>
        <v>1</v>
      </c>
      <c r="J7" s="89" t="str">
        <f>Table134[[#This Row],[YEAR]]-E6&amp;" revision days"</f>
        <v>21 revision days</v>
      </c>
      <c r="K7" s="88" t="str">
        <f>"Exam "&amp;TEXT(Table134[[#This Row],[YEAR]],"dd-mmm-yy")</f>
        <v>Exam 19-Nov-24</v>
      </c>
      <c r="L7" s="79"/>
      <c r="M7" s="79"/>
    </row>
    <row r="8" spans="2:14" ht="15.5" x14ac:dyDescent="0.3">
      <c r="B8" s="79" t="s">
        <v>114</v>
      </c>
      <c r="C8" s="11">
        <f ca="1">('⏱ Input'!T4-'⏱ Input'!T5)/F17</f>
        <v>0.31813271604938265</v>
      </c>
      <c r="E8" s="91"/>
      <c r="F8" s="92"/>
      <c r="G8" s="92"/>
      <c r="H8" s="93">
        <f ca="1">SUBTOTAL(109,Table134[Diff %])</f>
        <v>0.99870129870129876</v>
      </c>
      <c r="I8" s="94"/>
      <c r="J8" s="95"/>
      <c r="K8" s="96"/>
      <c r="L8" s="79"/>
      <c r="M8" s="79"/>
    </row>
    <row r="9" spans="2:14" ht="18" x14ac:dyDescent="0.3">
      <c r="C9" s="97"/>
      <c r="E9" s="98"/>
      <c r="F9" s="99"/>
      <c r="G9" s="99"/>
      <c r="H9" s="100"/>
      <c r="I9" s="101"/>
      <c r="J9" s="102"/>
      <c r="K9" s="79"/>
      <c r="L9" s="79"/>
      <c r="M9" s="79"/>
    </row>
    <row r="10" spans="2:14" ht="46.5" x14ac:dyDescent="0.3">
      <c r="B10" s="74" t="s">
        <v>36</v>
      </c>
      <c r="C10" s="75">
        <f ca="1">'📝 Instructions'!F9-TODAY()</f>
        <v>224</v>
      </c>
      <c r="E10" s="98"/>
      <c r="F10" s="99"/>
      <c r="G10" s="99"/>
      <c r="H10" s="100"/>
      <c r="I10" s="101"/>
      <c r="J10" s="102"/>
      <c r="K10" s="79"/>
      <c r="L10" s="79"/>
      <c r="M10" s="79"/>
    </row>
    <row r="11" spans="2:14" ht="15.5" x14ac:dyDescent="0.3">
      <c r="B11" s="76" t="s">
        <v>53</v>
      </c>
      <c r="C11" s="75">
        <f ca="1">IF(C10&lt;SUM('📊 Summary'!I11:I12),0,C10-'📊 Summary'!I11-'📊 Summary'!I12)</f>
        <v>198</v>
      </c>
      <c r="E11" s="98"/>
      <c r="F11" s="99"/>
      <c r="G11" s="99"/>
      <c r="H11" s="100"/>
      <c r="I11" s="101"/>
      <c r="J11" s="102"/>
      <c r="K11" s="79"/>
      <c r="L11" s="79"/>
      <c r="M11" s="79"/>
    </row>
    <row r="12" spans="2:14" ht="15.5" x14ac:dyDescent="0.3">
      <c r="B12" s="76" t="s">
        <v>43</v>
      </c>
      <c r="C12" s="77">
        <f>((('📊 Summary'!I8*5)+('📊 Summary'!I9*2))/7)*F21</f>
        <v>36.637202380952367</v>
      </c>
      <c r="E12" s="98"/>
      <c r="F12" s="99"/>
      <c r="G12" s="99"/>
      <c r="H12" s="100"/>
      <c r="I12" s="101"/>
      <c r="J12" s="102"/>
      <c r="K12" s="79"/>
      <c r="L12" s="79"/>
      <c r="M12" s="79"/>
    </row>
    <row r="14" spans="2:14" ht="15.5" x14ac:dyDescent="0.3">
      <c r="B14" s="304"/>
      <c r="C14" s="305" t="s">
        <v>42</v>
      </c>
      <c r="D14" s="305"/>
      <c r="E14" s="305"/>
      <c r="F14" s="103" t="s">
        <v>40</v>
      </c>
      <c r="G14" s="104"/>
    </row>
    <row r="15" spans="2:14" ht="15.5" x14ac:dyDescent="0.3">
      <c r="B15" s="304"/>
      <c r="C15" s="104" t="s">
        <v>37</v>
      </c>
      <c r="D15" s="104" t="s">
        <v>38</v>
      </c>
      <c r="E15" s="104" t="s">
        <v>56</v>
      </c>
      <c r="F15" s="104" t="s">
        <v>41</v>
      </c>
      <c r="G15" s="104" t="s">
        <v>92</v>
      </c>
      <c r="K15" s="79"/>
      <c r="N15" s="102"/>
    </row>
    <row r="16" spans="2:14" ht="31" x14ac:dyDescent="0.3">
      <c r="B16" s="105" t="s">
        <v>45</v>
      </c>
      <c r="C16" s="106">
        <f ca="1">('⏱ Input'!V4/('📝 Instructions'!F9-'📝 Instructions'!F8-'📊 Summary'!I11-'📊 Summary'!I12))*(TODAY()-'📝 Instructions'!F8)</f>
        <v>46.233870967741929</v>
      </c>
      <c r="D16" s="106">
        <f>SUMIFS(Master_Data[No. of Chapters],Master_Data[Lectures],"d",Master_Data[Self Study],"d")</f>
        <v>0</v>
      </c>
      <c r="E16" s="15">
        <f ca="1">IF((D16-C16)/C16&gt;0,"+"&amp;ROUND(((D16-C16)/C16)*100,0)&amp;"%",ROUND(((D16-C16)/C16),2))</f>
        <v>-1</v>
      </c>
      <c r="F16" s="106">
        <f>SUMIFS(Master_Data[No. of Chapters],Master_Data[Lectures],"U",Master_Data[Self Study],"U")</f>
        <v>63</v>
      </c>
      <c r="G16" s="14" t="str">
        <f>IFERROR(IF((F16-D16)/F16&gt;0,"+"&amp;ROUND(((F16-D16)/F16)*100,0)&amp;"%",ROUND(((F16-D16)/F16),2)),"-")</f>
        <v>+100%</v>
      </c>
      <c r="H16" s="125"/>
      <c r="K16" s="79"/>
      <c r="N16" s="102"/>
    </row>
    <row r="17" spans="2:14" ht="31" x14ac:dyDescent="0.3">
      <c r="B17" s="105" t="s">
        <v>73</v>
      </c>
      <c r="C17" s="72">
        <f ca="1">C18/7</f>
        <v>78</v>
      </c>
      <c r="D17" s="72">
        <f ca="1">D18/7</f>
        <v>78</v>
      </c>
      <c r="E17" s="15"/>
      <c r="F17" s="72">
        <f ca="1">F18/7</f>
        <v>28.285714285714285</v>
      </c>
      <c r="G17" s="14"/>
      <c r="K17" s="79"/>
      <c r="N17" s="102"/>
    </row>
    <row r="18" spans="2:14" ht="31" x14ac:dyDescent="0.3">
      <c r="B18" s="105" t="s">
        <v>74</v>
      </c>
      <c r="C18" s="73">
        <f ca="1">TODAY()-'📝 Instructions'!F8</f>
        <v>546</v>
      </c>
      <c r="D18" s="73">
        <f ca="1">TODAY()-'📝 Instructions'!F8</f>
        <v>546</v>
      </c>
      <c r="E18" s="15"/>
      <c r="F18" s="73">
        <f ca="1">IF(C10&lt;SUM('📊 Summary'!I11:I12),0,Working!C10-'📊 Summary'!I11-'📊 Summary'!I12)</f>
        <v>198</v>
      </c>
      <c r="G18" s="14"/>
      <c r="K18" s="79"/>
      <c r="N18" s="102"/>
    </row>
    <row r="19" spans="2:14" ht="46.5" x14ac:dyDescent="0.3">
      <c r="B19" s="105" t="s">
        <v>67</v>
      </c>
      <c r="C19" s="11">
        <f ca="1">((('📊 Summary'!$I$8*5)+('📊 Summary'!$I$9*2))/24)*Working!C17</f>
        <v>92.625</v>
      </c>
      <c r="D19" s="11">
        <f ca="1">((('📊 Summary'!$I$8*5)+('📊 Summary'!$I$9*2))/24)*Working!D17</f>
        <v>92.625</v>
      </c>
      <c r="E19" s="15"/>
      <c r="F19" s="11">
        <f ca="1">((('📊 Summary'!$I$8*5)+('📊 Summary'!$I$9*2))/24)*Working!F17</f>
        <v>33.589285714285715</v>
      </c>
      <c r="G19" s="14"/>
      <c r="K19" s="79"/>
      <c r="N19" s="102"/>
    </row>
    <row r="20" spans="2:14" ht="46.5" x14ac:dyDescent="0.3">
      <c r="B20" s="107" t="s">
        <v>68</v>
      </c>
      <c r="C20" s="9">
        <f ca="1">C21+C22</f>
        <v>16.235875896057344</v>
      </c>
      <c r="D20" s="9">
        <f>D21+D22</f>
        <v>0</v>
      </c>
      <c r="E20" s="15">
        <f t="shared" ref="E20:E22" ca="1" si="0">IF((D20-C20)/C20&gt;0,"+"&amp;ROUND(((D20-C20)/C20)*100,0)&amp;"%",ROUND(((D20-C20)/C20),2))</f>
        <v>-1</v>
      </c>
      <c r="F20" s="9">
        <f>F21+F22</f>
        <v>22.12361111111111</v>
      </c>
      <c r="G20" s="14" t="str">
        <f t="shared" ref="G20:G22" si="1">IFERROR(IF((F20-D20)/F20&gt;0,"+"&amp;ROUND(((F20-D20)/F20)*100,0)&amp;"%",ROUND(((F20-D20)/F20),2)),"-")</f>
        <v>+100%</v>
      </c>
    </row>
    <row r="21" spans="2:14" ht="31" x14ac:dyDescent="0.3">
      <c r="B21" s="108" t="s">
        <v>71</v>
      </c>
      <c r="C21" s="11">
        <f ca="1">((TODAY()-'📝 Instructions'!F8)/('📝 Instructions'!F9-'📝 Instructions'!F8-'📊 Summary'!I11-'📊 Summary'!I12))*'⏱ Input'!T4</f>
        <v>6.6038194444444427</v>
      </c>
      <c r="D21" s="11">
        <f>SUMIF(Master_Data[Lectures],"d",Master_Data[Duration (hh:mm)])</f>
        <v>0</v>
      </c>
      <c r="E21" s="15">
        <f t="shared" ca="1" si="0"/>
        <v>-1</v>
      </c>
      <c r="F21" s="11">
        <f>SUMIF(Master_Data[Lectures],"u",Master_Data[Duration (hh:mm)])</f>
        <v>8.9986111111111082</v>
      </c>
      <c r="G21" s="14" t="str">
        <f t="shared" si="1"/>
        <v>+100%</v>
      </c>
    </row>
    <row r="22" spans="2:14" ht="46.5" x14ac:dyDescent="0.3">
      <c r="B22" s="108" t="s">
        <v>75</v>
      </c>
      <c r="C22" s="11">
        <f ca="1">C16*('📊 Summary'!$I$10/24)</f>
        <v>9.6320564516129021</v>
      </c>
      <c r="D22" s="11">
        <f>D16*('📊 Summary'!$I$10/24)</f>
        <v>0</v>
      </c>
      <c r="E22" s="15">
        <f t="shared" ca="1" si="0"/>
        <v>-1</v>
      </c>
      <c r="F22" s="11">
        <f>F16*('📊 Summary'!$I$10/24)</f>
        <v>13.125</v>
      </c>
      <c r="G22" s="14" t="str">
        <f t="shared" si="1"/>
        <v>+100%</v>
      </c>
    </row>
    <row r="23" spans="2:14" ht="31" x14ac:dyDescent="0.3">
      <c r="B23" s="107" t="s">
        <v>69</v>
      </c>
      <c r="C23" s="11"/>
      <c r="D23" s="11"/>
      <c r="E23" s="15"/>
      <c r="F23" s="11"/>
      <c r="G23" s="14"/>
    </row>
    <row r="24" spans="2:14" ht="31" x14ac:dyDescent="0.3">
      <c r="B24" s="107" t="s">
        <v>76</v>
      </c>
      <c r="C24" s="124">
        <f ca="1">C16/C$17</f>
        <v>0.59274193548387089</v>
      </c>
      <c r="D24" s="124">
        <f ca="1">D16/D$17</f>
        <v>0</v>
      </c>
      <c r="E24" s="15">
        <f t="shared" ref="E24:E27" ca="1" si="2">IF((D24-C24)/C24&gt;0,"+"&amp;ROUND(((D24-C24)/C24)*100,0)&amp;"%",ROUND(((D24-C24)/C24),2))</f>
        <v>-1</v>
      </c>
      <c r="F24" s="124">
        <f ca="1">IFERROR(F16/F$17,"-")</f>
        <v>2.2272727272727275</v>
      </c>
      <c r="G24" s="14" t="str">
        <f ca="1">IFERROR(IF((F24-D24)/F24&gt;0,"+"&amp;ROUND(((F24-D24)/F24)*100,0)&amp;"%",ROUND(((F24-D24)/F24),2)),"-")</f>
        <v>+100%</v>
      </c>
      <c r="H24" s="125"/>
    </row>
    <row r="25" spans="2:14" ht="31" x14ac:dyDescent="0.3">
      <c r="B25" s="107" t="s">
        <v>72</v>
      </c>
      <c r="C25" s="9">
        <f ca="1">C26+C27</f>
        <v>0.20815225507765828</v>
      </c>
      <c r="D25" s="9">
        <f ca="1">D26+D27</f>
        <v>0</v>
      </c>
      <c r="E25" s="15">
        <f t="shared" ca="1" si="2"/>
        <v>-1</v>
      </c>
      <c r="F25" s="9">
        <f ca="1">IFERROR(F26+F27,"-")</f>
        <v>0.78214786756453414</v>
      </c>
      <c r="G25" s="14" t="str">
        <f t="shared" ref="G25:G27" ca="1" si="3">IFERROR(IF((F25-D25)/F25&gt;0,"+"&amp;ROUND(((F25-D25)/F25)*100,0)&amp;"%",ROUND(((F25-D25)/F25),2)),"-")</f>
        <v>+100%</v>
      </c>
    </row>
    <row r="26" spans="2:14" ht="31" x14ac:dyDescent="0.3">
      <c r="B26" s="108" t="s">
        <v>71</v>
      </c>
      <c r="C26" s="11">
        <f ca="1">C21/C$17</f>
        <v>8.4664351851851824E-2</v>
      </c>
      <c r="D26" s="11">
        <f ca="1">D21/D$17</f>
        <v>0</v>
      </c>
      <c r="E26" s="15">
        <f t="shared" ca="1" si="2"/>
        <v>-1</v>
      </c>
      <c r="F26" s="11">
        <f ca="1">IFERROR(F21/F$17,"-")</f>
        <v>0.31813271604938265</v>
      </c>
      <c r="G26" s="14" t="str">
        <f t="shared" ca="1" si="3"/>
        <v>+100%</v>
      </c>
    </row>
    <row r="27" spans="2:14" ht="46.5" x14ac:dyDescent="0.3">
      <c r="B27" s="108" t="s">
        <v>75</v>
      </c>
      <c r="C27" s="11">
        <f ca="1">C22/C$17</f>
        <v>0.12348790322580644</v>
      </c>
      <c r="D27" s="11">
        <f ca="1">D22/D$17</f>
        <v>0</v>
      </c>
      <c r="E27" s="15">
        <f t="shared" ca="1" si="2"/>
        <v>-1</v>
      </c>
      <c r="F27" s="11">
        <f ca="1">IFERROR(F22/F$17,"-")</f>
        <v>0.46401515151515155</v>
      </c>
      <c r="G27" s="14" t="str">
        <f t="shared" ca="1" si="3"/>
        <v>+100%</v>
      </c>
    </row>
    <row r="28" spans="2:14" ht="31" x14ac:dyDescent="0.3">
      <c r="B28" s="107" t="s">
        <v>70</v>
      </c>
      <c r="C28" s="11"/>
      <c r="D28" s="11"/>
      <c r="E28" s="15"/>
      <c r="F28" s="11"/>
      <c r="G28" s="14"/>
    </row>
    <row r="29" spans="2:14" ht="31" x14ac:dyDescent="0.3">
      <c r="B29" s="107" t="s">
        <v>76</v>
      </c>
      <c r="C29" s="124">
        <f ca="1">C16/C$18</f>
        <v>8.4677419354838704E-2</v>
      </c>
      <c r="D29" s="124">
        <f ca="1">D16/D$18</f>
        <v>0</v>
      </c>
      <c r="E29" s="15">
        <f t="shared" ref="E29:E32" ca="1" si="4">IF((D29-C29)/C29&gt;0,"+"&amp;ROUND(((D29-C29)/C29)*100,0)&amp;"%",ROUND(((D29-C29)/C29),2))</f>
        <v>-1</v>
      </c>
      <c r="F29" s="124">
        <f ca="1">IFERROR(F16/F$18,"-")</f>
        <v>0.31818181818181818</v>
      </c>
      <c r="G29" s="14" t="str">
        <f t="shared" ref="G29:G32" ca="1" si="5">IFERROR(IF((F29-D29)/F29&gt;0,"+"&amp;ROUND(((F29-D29)/F29)*100,0)&amp;"%",ROUND(((F29-D29)/F29),2)),"-")</f>
        <v>+100%</v>
      </c>
    </row>
    <row r="30" spans="2:14" ht="31" x14ac:dyDescent="0.3">
      <c r="B30" s="107" t="s">
        <v>72</v>
      </c>
      <c r="C30" s="9">
        <f ca="1">C31+C32</f>
        <v>2.9736036439665468E-2</v>
      </c>
      <c r="D30" s="9">
        <f ca="1">D31+D32</f>
        <v>0</v>
      </c>
      <c r="E30" s="15">
        <f t="shared" ca="1" si="4"/>
        <v>-1</v>
      </c>
      <c r="F30" s="9">
        <f ca="1">IFERROR(F31+F32,"-")</f>
        <v>0.1117354096520763</v>
      </c>
      <c r="G30" s="14" t="str">
        <f t="shared" ca="1" si="5"/>
        <v>+100%</v>
      </c>
    </row>
    <row r="31" spans="2:14" ht="31" x14ac:dyDescent="0.3">
      <c r="B31" s="108" t="s">
        <v>71</v>
      </c>
      <c r="C31" s="11">
        <f ca="1">C21/C$18</f>
        <v>1.2094907407407405E-2</v>
      </c>
      <c r="D31" s="11">
        <f ca="1">D21/D$18</f>
        <v>0</v>
      </c>
      <c r="E31" s="15">
        <f t="shared" ca="1" si="4"/>
        <v>-1</v>
      </c>
      <c r="F31" s="11">
        <f ca="1">IFERROR(F21/F$18,"-")</f>
        <v>4.5447530864197519E-2</v>
      </c>
      <c r="G31" s="14" t="str">
        <f t="shared" ca="1" si="5"/>
        <v>+100%</v>
      </c>
    </row>
    <row r="32" spans="2:14" ht="46.5" x14ac:dyDescent="0.3">
      <c r="B32" s="108" t="s">
        <v>75</v>
      </c>
      <c r="C32" s="11">
        <f ca="1">C22/C$18</f>
        <v>1.7641129032258063E-2</v>
      </c>
      <c r="D32" s="11">
        <f ca="1">D22/D$18</f>
        <v>0</v>
      </c>
      <c r="E32" s="15">
        <f t="shared" ca="1" si="4"/>
        <v>-1</v>
      </c>
      <c r="F32" s="11">
        <f ca="1">IFERROR(F22/F$18,"-")</f>
        <v>6.6287878787878785E-2</v>
      </c>
      <c r="G32" s="14" t="str">
        <f t="shared" ca="1" si="5"/>
        <v>+100%</v>
      </c>
    </row>
    <row r="33" spans="2:7" ht="15.5" x14ac:dyDescent="0.3">
      <c r="B33" s="109"/>
      <c r="C33" s="83"/>
      <c r="D33" s="83"/>
      <c r="E33" s="110"/>
      <c r="F33" s="83"/>
      <c r="G33" s="69"/>
    </row>
    <row r="34" spans="2:7" ht="15.5" x14ac:dyDescent="0.3">
      <c r="B34" s="119" t="s">
        <v>61</v>
      </c>
      <c r="C34" s="119"/>
      <c r="D34" s="83"/>
      <c r="E34" s="110"/>
      <c r="F34" s="83"/>
      <c r="G34" s="69"/>
    </row>
    <row r="35" spans="2:7" ht="15.5" x14ac:dyDescent="0.3">
      <c r="B35" s="120" t="s">
        <v>57</v>
      </c>
      <c r="C35" s="83">
        <f ca="1">(C42*((('📊 Summary'!I8*5)/24)/((('📊 Summary'!I8*5)+('📊 Summary'!I9*2))/24)))/5</f>
        <v>6.8609462067064406E-2</v>
      </c>
      <c r="D35" s="83"/>
      <c r="E35" s="110"/>
      <c r="F35" s="83"/>
      <c r="G35" s="69"/>
    </row>
    <row r="36" spans="2:7" ht="15.5" x14ac:dyDescent="0.3">
      <c r="B36" s="120" t="s">
        <v>58</v>
      </c>
      <c r="C36" s="83">
        <f ca="1">(C42*((('📊 Summary'!I9*2)/24)/((('📊 Summary'!I8*5)+('📊 Summary'!I9*2))/24)))/2</f>
        <v>0.2195502786146061</v>
      </c>
      <c r="D36" s="83"/>
      <c r="E36" s="110"/>
      <c r="F36" s="83"/>
      <c r="G36" s="69"/>
    </row>
    <row r="37" spans="2:7" ht="15.5" x14ac:dyDescent="0.3">
      <c r="B37" s="121"/>
      <c r="C37" s="121"/>
      <c r="D37" s="83"/>
      <c r="E37" s="110"/>
      <c r="F37" s="83"/>
      <c r="G37" s="69"/>
    </row>
    <row r="38" spans="2:7" ht="15.5" x14ac:dyDescent="0.3">
      <c r="B38" s="119" t="s">
        <v>59</v>
      </c>
      <c r="C38" s="83"/>
      <c r="D38" s="83"/>
      <c r="E38" s="110"/>
      <c r="F38" s="83"/>
      <c r="G38" s="69"/>
    </row>
    <row r="39" spans="2:7" ht="15.5" x14ac:dyDescent="0.3">
      <c r="B39" s="122" t="s">
        <v>54</v>
      </c>
      <c r="C39" s="83">
        <f>F21</f>
        <v>8.9986111111111082</v>
      </c>
      <c r="D39" s="83"/>
      <c r="E39" s="110"/>
      <c r="F39" s="83"/>
      <c r="G39" s="69"/>
    </row>
    <row r="40" spans="2:7" ht="15.5" x14ac:dyDescent="0.3">
      <c r="B40" s="122" t="s">
        <v>23</v>
      </c>
      <c r="C40" s="83">
        <f>F22</f>
        <v>13.125</v>
      </c>
      <c r="D40" s="83"/>
      <c r="E40" s="110"/>
      <c r="F40" s="83"/>
      <c r="G40" s="69"/>
    </row>
    <row r="41" spans="2:7" ht="15.5" x14ac:dyDescent="0.3">
      <c r="B41" s="120" t="s">
        <v>55</v>
      </c>
      <c r="C41" s="123">
        <f>SUM(C39:C40)</f>
        <v>22.12361111111111</v>
      </c>
      <c r="D41" s="83"/>
      <c r="E41" s="110"/>
      <c r="F41" s="83"/>
      <c r="G41" s="69"/>
    </row>
    <row r="42" spans="2:7" ht="15.5" x14ac:dyDescent="0.3">
      <c r="B42" s="120" t="s">
        <v>60</v>
      </c>
      <c r="C42" s="83">
        <f ca="1">C41/F17</f>
        <v>0.78214786756453425</v>
      </c>
      <c r="D42" s="83"/>
      <c r="E42" s="110"/>
      <c r="F42" s="83"/>
      <c r="G42" s="69"/>
    </row>
    <row r="43" spans="2:7" ht="15.5" x14ac:dyDescent="0.3">
      <c r="B43" s="109"/>
      <c r="C43" s="83"/>
      <c r="D43" s="83"/>
      <c r="E43" s="110"/>
      <c r="F43" s="83"/>
      <c r="G43" s="69"/>
    </row>
    <row r="44" spans="2:7" ht="15.5" x14ac:dyDescent="0.3">
      <c r="B44" s="109"/>
      <c r="C44" s="83"/>
      <c r="D44" s="83"/>
      <c r="E44" s="110"/>
      <c r="F44" s="83"/>
      <c r="G44" s="69"/>
    </row>
    <row r="45" spans="2:7" x14ac:dyDescent="0.3">
      <c r="C45" s="102"/>
      <c r="D45" s="102"/>
    </row>
    <row r="46" spans="2:7" x14ac:dyDescent="0.3">
      <c r="B46" s="111" t="s">
        <v>10</v>
      </c>
      <c r="C46" s="78"/>
      <c r="D46" s="78"/>
      <c r="E46" s="78"/>
    </row>
    <row r="47" spans="2:7" x14ac:dyDescent="0.3">
      <c r="B47" s="78" t="s">
        <v>12</v>
      </c>
      <c r="C47" s="112">
        <f>D47/$D$51</f>
        <v>0</v>
      </c>
      <c r="D47" s="78">
        <f>SUMIFS(Master_Data[No. of Chapters],Master_Data[Lectures],"d",Master_Data[Self Study],"d")</f>
        <v>0</v>
      </c>
      <c r="E47" s="112" t="str">
        <f>IF(C47=0,"",CONCATENATE(B47,", ",ROUND(D47,0)))</f>
        <v/>
      </c>
    </row>
    <row r="48" spans="2:7" x14ac:dyDescent="0.3">
      <c r="B48" s="78" t="s">
        <v>129</v>
      </c>
      <c r="C48" s="112">
        <f t="shared" ref="C48:C51" ca="1" si="6">D48/$D$51</f>
        <v>0</v>
      </c>
      <c r="D48" s="113">
        <f ca="1">IF(C16&lt;D16,D16-C16,0)</f>
        <v>0</v>
      </c>
      <c r="E48" s="112" t="str">
        <f t="shared" ref="E48:E50" ca="1" si="7">IF(C48=0,"",CONCATENATE(B48,", ",ROUND(D48,0)))</f>
        <v/>
      </c>
    </row>
    <row r="49" spans="2:14" x14ac:dyDescent="0.3">
      <c r="B49" s="78" t="s">
        <v>130</v>
      </c>
      <c r="C49" s="112">
        <f t="shared" ca="1" si="6"/>
        <v>0.73387096774193539</v>
      </c>
      <c r="D49" s="113">
        <f ca="1">IF(C16&gt;D16,C16-D16,0)</f>
        <v>46.233870967741929</v>
      </c>
      <c r="E49" s="112" t="str">
        <f t="shared" ca="1" si="7"/>
        <v>Extra Undone, 46</v>
      </c>
    </row>
    <row r="50" spans="2:14" x14ac:dyDescent="0.3">
      <c r="B50" s="78" t="s">
        <v>13</v>
      </c>
      <c r="C50" s="112">
        <f t="shared" ca="1" si="6"/>
        <v>0.26612903225806461</v>
      </c>
      <c r="D50" s="114">
        <f ca="1">D51-D47-D49</f>
        <v>16.766129032258071</v>
      </c>
      <c r="E50" s="112" t="str">
        <f t="shared" ca="1" si="7"/>
        <v>Undone, 17</v>
      </c>
    </row>
    <row r="51" spans="2:14" x14ac:dyDescent="0.3">
      <c r="B51" s="78" t="s">
        <v>7</v>
      </c>
      <c r="C51" s="112">
        <f t="shared" si="6"/>
        <v>1</v>
      </c>
      <c r="D51" s="114">
        <f>'⏱ Input'!V4</f>
        <v>63</v>
      </c>
      <c r="E51" s="112"/>
    </row>
    <row r="53" spans="2:14" x14ac:dyDescent="0.3">
      <c r="B53" s="111" t="s">
        <v>127</v>
      </c>
      <c r="C53" s="78"/>
      <c r="D53" s="78"/>
      <c r="E53" s="78"/>
      <c r="N53" s="115"/>
    </row>
    <row r="54" spans="2:14" x14ac:dyDescent="0.3">
      <c r="B54" s="78" t="s">
        <v>12</v>
      </c>
      <c r="C54" s="112">
        <f>D54/$D$58</f>
        <v>0</v>
      </c>
      <c r="D54" s="127">
        <f>'⏱ Input'!T5</f>
        <v>0</v>
      </c>
      <c r="E54" s="78" t="str">
        <f>IF(C54=0,"",CONCATENATE(B54,", ",TEXT(D54,"[h]")))</f>
        <v/>
      </c>
      <c r="G54" s="115"/>
    </row>
    <row r="55" spans="2:14" x14ac:dyDescent="0.3">
      <c r="B55" s="78" t="s">
        <v>129</v>
      </c>
      <c r="C55" s="112">
        <f t="shared" ref="C55:C58" ca="1" si="8">D55/$D$58</f>
        <v>0</v>
      </c>
      <c r="D55" s="127">
        <f ca="1">IF(C21&lt;D21,D21-C21,0)</f>
        <v>0</v>
      </c>
      <c r="E55" s="112" t="str">
        <f ca="1">IF(C55=0,"",CONCATENATE(B55,", ",TEXT(D55,"[h]")))</f>
        <v/>
      </c>
    </row>
    <row r="56" spans="2:14" x14ac:dyDescent="0.3">
      <c r="B56" s="78" t="s">
        <v>130</v>
      </c>
      <c r="C56" s="112">
        <f t="shared" ca="1" si="8"/>
        <v>0.7338709677419355</v>
      </c>
      <c r="D56" s="127">
        <f ca="1">IF(C21&gt;D21,C21-D21,0)</f>
        <v>6.6038194444444427</v>
      </c>
      <c r="E56" s="112" t="str">
        <f ca="1">IF(C56=0,"",CONCATENATE(B56,", ",TEXT(D56,"[h]")))</f>
        <v>Extra Undone, 158</v>
      </c>
    </row>
    <row r="57" spans="2:14" x14ac:dyDescent="0.3">
      <c r="B57" s="78" t="s">
        <v>13</v>
      </c>
      <c r="C57" s="112">
        <f t="shared" ca="1" si="8"/>
        <v>0.2661290322580645</v>
      </c>
      <c r="D57" s="127">
        <f ca="1">D58-D54-D56</f>
        <v>2.3947916666666655</v>
      </c>
      <c r="E57" s="112" t="str">
        <f ca="1">IF(C57=0,"",CONCATENATE(B57,", ",TEXT(D57,"[h]")))</f>
        <v>Undone, 57</v>
      </c>
    </row>
    <row r="58" spans="2:14" x14ac:dyDescent="0.3">
      <c r="B58" s="78" t="s">
        <v>7</v>
      </c>
      <c r="C58" s="112">
        <f t="shared" si="8"/>
        <v>1</v>
      </c>
      <c r="D58" s="127">
        <f>'⏱ Input'!T4</f>
        <v>8.9986111111111082</v>
      </c>
      <c r="E58" s="112"/>
    </row>
    <row r="60" spans="2:14" x14ac:dyDescent="0.3">
      <c r="B60" s="111" t="s">
        <v>128</v>
      </c>
      <c r="C60" s="78"/>
      <c r="D60" s="78"/>
      <c r="E60" s="78"/>
    </row>
    <row r="61" spans="2:14" x14ac:dyDescent="0.3">
      <c r="B61" s="78" t="s">
        <v>12</v>
      </c>
      <c r="C61" s="112">
        <f>D61/$D$65</f>
        <v>0</v>
      </c>
      <c r="D61" s="127">
        <f>'⏱ Input'!W5*('📊 Summary'!I10/24)</f>
        <v>0</v>
      </c>
      <c r="E61" s="112" t="str">
        <f>IF(C61=0,"",CONCATENATE(B61,", ",TEXT(D61,"[h]")))</f>
        <v/>
      </c>
    </row>
    <row r="62" spans="2:14" x14ac:dyDescent="0.3">
      <c r="B62" s="78" t="s">
        <v>129</v>
      </c>
      <c r="C62" s="112">
        <f t="shared" ref="C62:C65" ca="1" si="9">D62/$D$65</f>
        <v>0</v>
      </c>
      <c r="D62" s="127">
        <f ca="1">IF(C22&lt;D22,D22-C22,0)</f>
        <v>0</v>
      </c>
      <c r="E62" s="112" t="str">
        <f ca="1">IF(C62=0,"",CONCATENATE(B62,", ",TEXT(D62,"[h]")))</f>
        <v/>
      </c>
    </row>
    <row r="63" spans="2:14" x14ac:dyDescent="0.3">
      <c r="B63" s="78" t="s">
        <v>130</v>
      </c>
      <c r="C63" s="112">
        <f t="shared" ca="1" si="9"/>
        <v>0.73387096774193539</v>
      </c>
      <c r="D63" s="127">
        <f ca="1">IF(C22&gt;D22,C22-D22,0)</f>
        <v>9.6320564516129021</v>
      </c>
      <c r="E63" s="112" t="str">
        <f ca="1">IF(C63=0,"",CONCATENATE(B63,", ",TEXT(D63,"[h]")))</f>
        <v>Extra Undone, 231</v>
      </c>
    </row>
    <row r="64" spans="2:14" x14ac:dyDescent="0.3">
      <c r="B64" s="78" t="s">
        <v>13</v>
      </c>
      <c r="C64" s="112">
        <f t="shared" ca="1" si="9"/>
        <v>0.26612903225806461</v>
      </c>
      <c r="D64" s="127">
        <f ca="1">D65-D61-D63</f>
        <v>3.4929435483870979</v>
      </c>
      <c r="E64" s="112" t="str">
        <f ca="1">IF(C64=0,"",CONCATENATE(B64,", ",TEXT(D64,"[h]")))</f>
        <v>Undone, 83</v>
      </c>
    </row>
    <row r="65" spans="2:5" x14ac:dyDescent="0.3">
      <c r="B65" s="78" t="s">
        <v>7</v>
      </c>
      <c r="C65" s="112">
        <f t="shared" si="9"/>
        <v>1</v>
      </c>
      <c r="D65" s="127">
        <f>'⏱ Input'!V4*('📊 Summary'!I10/24)</f>
        <v>13.125</v>
      </c>
      <c r="E65" s="112"/>
    </row>
    <row r="66" spans="2:5" x14ac:dyDescent="0.3">
      <c r="C66" s="125"/>
      <c r="D66" s="126"/>
      <c r="E66" s="125"/>
    </row>
    <row r="67" spans="2:5" x14ac:dyDescent="0.3">
      <c r="B67" s="111" t="s">
        <v>139</v>
      </c>
      <c r="C67" s="78"/>
      <c r="D67" s="78"/>
      <c r="E67" s="78"/>
    </row>
    <row r="68" spans="2:5" x14ac:dyDescent="0.3">
      <c r="B68" s="78" t="s">
        <v>12</v>
      </c>
      <c r="C68" s="112">
        <f>D68/$D$72</f>
        <v>0</v>
      </c>
      <c r="D68" s="127">
        <f>D20</f>
        <v>0</v>
      </c>
      <c r="E68" s="112" t="str">
        <f>IF(C68=0,"",CONCATENATE(B68,", ",TEXT(D68,"[h]")))</f>
        <v/>
      </c>
    </row>
    <row r="69" spans="2:5" x14ac:dyDescent="0.3">
      <c r="B69" s="78" t="s">
        <v>129</v>
      </c>
      <c r="C69" s="112">
        <f t="shared" ref="C69:C72" ca="1" si="10">D69/$D$72</f>
        <v>0</v>
      </c>
      <c r="D69" s="127">
        <f ca="1">IF(C20&lt;D20,D20-C20,0)</f>
        <v>0</v>
      </c>
      <c r="E69" s="112" t="str">
        <f ca="1">IF(C69=0,"",CONCATENATE(B69,", ",TEXT(D69,"[h]")))</f>
        <v/>
      </c>
    </row>
    <row r="70" spans="2:5" x14ac:dyDescent="0.3">
      <c r="B70" s="78" t="s">
        <v>130</v>
      </c>
      <c r="C70" s="112">
        <f t="shared" ca="1" si="10"/>
        <v>0.73387096774193539</v>
      </c>
      <c r="D70" s="127">
        <f ca="1">IF(C20&gt;D20,C20-D20,0)</f>
        <v>16.235875896057344</v>
      </c>
      <c r="E70" s="112" t="str">
        <f ca="1">IF(C70=0,"",CONCATENATE(B70,", ",TEXT(D70,"[h]")))</f>
        <v>Extra Undone, 389</v>
      </c>
    </row>
    <row r="71" spans="2:5" x14ac:dyDescent="0.3">
      <c r="B71" s="78" t="s">
        <v>13</v>
      </c>
      <c r="C71" s="112">
        <f t="shared" ca="1" si="10"/>
        <v>0.26612903225806467</v>
      </c>
      <c r="D71" s="127">
        <f ca="1">D72-D68-D70</f>
        <v>5.8877352150537661</v>
      </c>
      <c r="E71" s="112" t="str">
        <f ca="1">IF(C71=0,"",CONCATENATE(B71,", ",TEXT(D71,"[h]")))</f>
        <v>Undone, 141</v>
      </c>
    </row>
    <row r="72" spans="2:5" x14ac:dyDescent="0.3">
      <c r="B72" s="78" t="s">
        <v>7</v>
      </c>
      <c r="C72" s="112">
        <f t="shared" si="10"/>
        <v>1</v>
      </c>
      <c r="D72" s="127">
        <f t="shared" ref="D72" si="11">D58+D65</f>
        <v>22.12361111111111</v>
      </c>
      <c r="E72" s="112"/>
    </row>
    <row r="73" spans="2:5" x14ac:dyDescent="0.3">
      <c r="C73" s="125"/>
      <c r="D73" s="126"/>
      <c r="E73" s="125"/>
    </row>
    <row r="74" spans="2:5" x14ac:dyDescent="0.3">
      <c r="C74" s="125"/>
      <c r="D74" s="126"/>
      <c r="E74" s="125"/>
    </row>
    <row r="75" spans="2:5" x14ac:dyDescent="0.3">
      <c r="C75" s="125"/>
      <c r="D75" s="126"/>
      <c r="E75" s="125"/>
    </row>
    <row r="77" spans="2:5" ht="14.5" x14ac:dyDescent="0.35">
      <c r="B77" s="116" t="s">
        <v>122</v>
      </c>
      <c r="C77" s="79" t="s">
        <v>230</v>
      </c>
      <c r="D77"/>
    </row>
    <row r="78" spans="2:5" ht="14.5" x14ac:dyDescent="0.35">
      <c r="B78" s="117" t="s">
        <v>6</v>
      </c>
      <c r="C78" s="306">
        <v>15</v>
      </c>
      <c r="D78"/>
    </row>
    <row r="79" spans="2:5" ht="14.5" x14ac:dyDescent="0.35">
      <c r="B79" s="117" t="s">
        <v>123</v>
      </c>
      <c r="C79" s="306">
        <v>15</v>
      </c>
      <c r="D79"/>
    </row>
    <row r="80" spans="2:5" ht="14.5" x14ac:dyDescent="0.35">
      <c r="B80"/>
      <c r="C80"/>
    </row>
    <row r="82" spans="2:3" x14ac:dyDescent="0.3">
      <c r="B82" s="116" t="s">
        <v>122</v>
      </c>
      <c r="C82" s="79" t="s">
        <v>230</v>
      </c>
    </row>
    <row r="83" spans="2:3" x14ac:dyDescent="0.3">
      <c r="B83" s="117" t="s">
        <v>6</v>
      </c>
      <c r="C83" s="306">
        <v>15</v>
      </c>
    </row>
    <row r="84" spans="2:3" x14ac:dyDescent="0.3">
      <c r="B84" s="117" t="s">
        <v>123</v>
      </c>
      <c r="C84" s="306">
        <v>15</v>
      </c>
    </row>
    <row r="85" spans="2:3" ht="14.5" x14ac:dyDescent="0.35">
      <c r="B85"/>
      <c r="C85"/>
    </row>
    <row r="87" spans="2:3" x14ac:dyDescent="0.3">
      <c r="B87" s="116" t="s">
        <v>122</v>
      </c>
      <c r="C87" s="79" t="s">
        <v>230</v>
      </c>
    </row>
    <row r="88" spans="2:3" x14ac:dyDescent="0.3">
      <c r="B88" s="117" t="s">
        <v>6</v>
      </c>
      <c r="C88" s="306">
        <v>15</v>
      </c>
    </row>
    <row r="89" spans="2:3" x14ac:dyDescent="0.3">
      <c r="B89" s="117" t="s">
        <v>123</v>
      </c>
      <c r="C89" s="306">
        <v>15</v>
      </c>
    </row>
    <row r="90" spans="2:3" ht="14.5" x14ac:dyDescent="0.35">
      <c r="B90"/>
      <c r="C90"/>
    </row>
    <row r="92" spans="2:3" x14ac:dyDescent="0.3">
      <c r="B92" s="116" t="s">
        <v>122</v>
      </c>
      <c r="C92" s="79" t="s">
        <v>230</v>
      </c>
    </row>
    <row r="93" spans="2:3" x14ac:dyDescent="0.3">
      <c r="B93" s="117" t="s">
        <v>6</v>
      </c>
      <c r="C93" s="306">
        <v>15</v>
      </c>
    </row>
    <row r="94" spans="2:3" x14ac:dyDescent="0.3">
      <c r="B94" s="117" t="s">
        <v>123</v>
      </c>
      <c r="C94" s="306">
        <v>15</v>
      </c>
    </row>
    <row r="95" spans="2:3" ht="14.5" x14ac:dyDescent="0.35">
      <c r="B95"/>
      <c r="C95"/>
    </row>
    <row r="97" spans="2:3" x14ac:dyDescent="0.3">
      <c r="B97" s="116" t="s">
        <v>122</v>
      </c>
      <c r="C97" s="79" t="s">
        <v>230</v>
      </c>
    </row>
    <row r="98" spans="2:3" x14ac:dyDescent="0.3">
      <c r="B98" s="117" t="s">
        <v>6</v>
      </c>
      <c r="C98" s="306">
        <v>15</v>
      </c>
    </row>
    <row r="99" spans="2:3" x14ac:dyDescent="0.3">
      <c r="B99" s="117" t="s">
        <v>123</v>
      </c>
      <c r="C99" s="306">
        <v>15</v>
      </c>
    </row>
    <row r="100" spans="2:3" ht="14.5" x14ac:dyDescent="0.35">
      <c r="B100"/>
      <c r="C100"/>
    </row>
  </sheetData>
  <mergeCells count="2">
    <mergeCell ref="B14:B15"/>
    <mergeCell ref="C14:E14"/>
  </mergeCells>
  <conditionalFormatting sqref="E16:E44">
    <cfRule type="cellIs" dxfId="11" priority="19" operator="lessThan">
      <formula>0</formula>
    </cfRule>
    <cfRule type="cellIs" dxfId="10" priority="20" operator="greaterThanOrEqual">
      <formula>0.0001</formula>
    </cfRule>
  </conditionalFormatting>
  <conditionalFormatting sqref="G16:G44">
    <cfRule type="cellIs" dxfId="9" priority="1" operator="lessThan">
      <formula>0</formula>
    </cfRule>
    <cfRule type="cellIs" dxfId="8"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Siddhi Mukim</cp:lastModifiedBy>
  <cp:lastPrinted>2022-06-28T06:51:26Z</cp:lastPrinted>
  <dcterms:created xsi:type="dcterms:W3CDTF">2017-08-10T18:49:10Z</dcterms:created>
  <dcterms:modified xsi:type="dcterms:W3CDTF">2024-04-09T06:30:41Z</dcterms:modified>
</cp:coreProperties>
</file>